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5" yWindow="15" windowWidth="11685" windowHeight="10695" tabRatio="900" activeTab="0"/>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AFS" sheetId="9" r:id="rId9"/>
    <sheet name="9.Deposits" sheetId="10" r:id="rId10"/>
    <sheet name="10.NPL,Coverage ratios" sheetId="11" r:id="rId11"/>
    <sheet name="11.NPA" sheetId="12" r:id="rId12"/>
    <sheet name="12.CumulativeAllowances" sheetId="13" r:id="rId13"/>
    <sheet name="13.Capital" sheetId="14" r:id="rId14"/>
    <sheet name="14.Mix" sheetId="15" r:id="rId15"/>
    <sheet name="15.Consumer" sheetId="16" r:id="rId16"/>
    <sheet name="16.Institutional" sheetId="17" r:id="rId17"/>
    <sheet name="17.Treasury" sheetId="18" r:id="rId18"/>
    <sheet name="18.Others" sheetId="19" r:id="rId19"/>
    <sheet name="19.S'pore" sheetId="20" r:id="rId20"/>
    <sheet name="20.HK" sheetId="21" r:id="rId21"/>
    <sheet name="21.GreaterChina" sheetId="22" r:id="rId22"/>
    <sheet name="22.SSEA" sheetId="23" r:id="rId23"/>
    <sheet name="23.ROW" sheetId="24" r:id="rId24"/>
    <sheet name="24.P&amp;L" sheetId="25" r:id="rId25"/>
    <sheet name="25.BalSheet" sheetId="26" r:id="rId26"/>
    <sheet name="26.CashFlow" sheetId="27" r:id="rId27"/>
    <sheet name="27.Legend" sheetId="28" r:id="rId28"/>
  </sheets>
  <externalReferences>
    <externalReference r:id="rId31"/>
  </externalReferences>
  <definedNames>
    <definedName name="_xlnm.Print_Area" localSheetId="1">'1.Highlights'!$A$1:$AL$37</definedName>
    <definedName name="_xlnm.Print_Area" localSheetId="10">'10.NPL,Coverage ratios'!$R$1:$AH$21</definedName>
    <definedName name="_xlnm.Print_Area" localSheetId="11">'11.NPA'!$R$1:$AH$59</definedName>
    <definedName name="_xlnm.Print_Area" localSheetId="12">'12.CumulativeAllowances'!$R$1:$AH$53</definedName>
    <definedName name="_xlnm.Print_Area" localSheetId="13">'13.Capital'!$A$1:$AE$34</definedName>
    <definedName name="_xlnm.Print_Area" localSheetId="14">'14.Mix'!$A$1:$AG$41</definedName>
    <definedName name="_xlnm.Print_Area" localSheetId="15">'15.Consumer'!$A$1:$AH$18</definedName>
    <definedName name="_xlnm.Print_Area" localSheetId="16">'16.Institutional'!$A$1:$AH$18</definedName>
    <definedName name="_xlnm.Print_Area" localSheetId="17">'17.Treasury'!$A$1:$AH$18</definedName>
    <definedName name="_xlnm.Print_Area" localSheetId="18">'18.Others'!$A$1:$AH$18</definedName>
    <definedName name="_xlnm.Print_Area" localSheetId="19">'19.S''pore'!$A$1:$AH$17</definedName>
    <definedName name="_xlnm.Print_Area" localSheetId="2">'2.PerShare'!$A$1:$AK$37</definedName>
    <definedName name="_xlnm.Print_Area" localSheetId="20">'20.HK'!$A$1:$AH$17</definedName>
    <definedName name="_xlnm.Print_Area" localSheetId="21">'21.GreaterChina'!$A$1:$AH$17</definedName>
    <definedName name="_xlnm.Print_Area" localSheetId="22">'22.SSEA'!$A$1:$AH$17</definedName>
    <definedName name="_xlnm.Print_Area" localSheetId="23">'23.ROW'!$A$1:$AH$17</definedName>
    <definedName name="_xlnm.Print_Area" localSheetId="24">'24.P&amp;L'!$A$1:$K$67</definedName>
    <definedName name="_xlnm.Print_Area" localSheetId="25">'25.BalSheet'!$A$1:$L$69</definedName>
    <definedName name="_xlnm.Print_Area" localSheetId="26">'26.CashFlow'!$A$1:$E$65</definedName>
    <definedName name="_xlnm.Print_Area" localSheetId="3">'3.NetInterest'!$A$1:$AH$31</definedName>
    <definedName name="_xlnm.Print_Area" localSheetId="4">'4.NonInterest'!$A$1:$AH$24</definedName>
    <definedName name="_xlnm.Print_Area" localSheetId="5">'5.Expenses'!$A$1:$AH$17</definedName>
    <definedName name="_xlnm.Print_Area" localSheetId="6">'6.Allowances'!$A$1:$AH$23</definedName>
    <definedName name="_xlnm.Print_Area" localSheetId="7">'7.Loans'!$R$1:$AH$35</definedName>
    <definedName name="_xlnm.Print_Area" localSheetId="8">'8.AFS'!$A$1:$AJ$23</definedName>
    <definedName name="_xlnm.Print_Area" localSheetId="9">'9.Deposits'!$A$1:$AH$25</definedName>
    <definedName name="_xlnm.Print_Area" localSheetId="0">'Index'!$A$1:$M$48</definedName>
    <definedName name="_xlnm.Print_Titles" localSheetId="10">'10.NPL,Coverage ratios'!$A:$C</definedName>
    <definedName name="_xlnm.Print_Titles" localSheetId="11">'11.NPA'!$A:$C</definedName>
    <definedName name="_xlnm.Print_Titles" localSheetId="12">'12.CumulativeAllowances'!$A:$C</definedName>
    <definedName name="_xlnm.Print_Titles" localSheetId="7">'7.Loans'!$A:$C,'7.Loans'!$1:$4</definedName>
  </definedNames>
  <calcPr fullCalcOnLoad="1"/>
</workbook>
</file>

<file path=xl/sharedStrings.xml><?xml version="1.0" encoding="utf-8"?>
<sst xmlns="http://schemas.openxmlformats.org/spreadsheetml/2006/main" count="1442" uniqueCount="445">
  <si>
    <t>Expenses</t>
  </si>
  <si>
    <t>Page</t>
  </si>
  <si>
    <t>1Q09</t>
  </si>
  <si>
    <t>2Q09</t>
  </si>
  <si>
    <t>3Q09</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</si>
  <si>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</si>
  <si>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</si>
  <si>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</si>
  <si>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</si>
  <si>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</si>
  <si>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</si>
  <si>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</si>
  <si>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</si>
  <si>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</si>
  <si>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</si>
  <si>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</si>
  <si>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</si>
  <si>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</si>
  <si>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</si>
  <si>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Securities</t>
  </si>
  <si>
    <t>Interest-bearing liabilities</t>
  </si>
  <si>
    <t>Customer deposits</t>
  </si>
  <si>
    <t>Other borrowings</t>
  </si>
  <si>
    <t>Interest income</t>
  </si>
  <si>
    <t>Interest expense</t>
  </si>
  <si>
    <t>Non-interest income</t>
  </si>
  <si>
    <t>Other income</t>
  </si>
  <si>
    <t>One-time items</t>
  </si>
  <si>
    <t>Average rates (%)</t>
  </si>
  <si>
    <t>Average balances (S$m)</t>
  </si>
  <si>
    <t>Stockbroking</t>
  </si>
  <si>
    <t>Investment banking</t>
  </si>
  <si>
    <t>Loan related</t>
  </si>
  <si>
    <t>Credit card</t>
  </si>
  <si>
    <t>Wealth management</t>
  </si>
  <si>
    <t>Others</t>
  </si>
  <si>
    <t>Trading income</t>
  </si>
  <si>
    <t>Financial instruments designated at fair value</t>
  </si>
  <si>
    <t>Net gain on fixed assets</t>
  </si>
  <si>
    <t>Others (including rental income)</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</si>
  <si>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</si>
  <si>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</si>
  <si>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</si>
  <si>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</si>
  <si>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</si>
  <si>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</si>
  <si>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</si>
  <si>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</si>
  <si>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</si>
  <si>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</si>
  <si>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General allowances</t>
  </si>
  <si>
    <t>Performance highlights</t>
  </si>
  <si>
    <t>Net book value</t>
  </si>
  <si>
    <t>Net profit</t>
  </si>
  <si>
    <t>Excluding one-time items</t>
  </si>
  <si>
    <t>Including one-time items</t>
  </si>
  <si>
    <t>Basic</t>
  </si>
  <si>
    <t>Diluted</t>
  </si>
  <si>
    <t>Ordinary shareholders' funds (S$m)</t>
  </si>
  <si>
    <t>Dividend</t>
  </si>
  <si>
    <t>FY08</t>
  </si>
  <si>
    <t>Consolidated results</t>
  </si>
  <si>
    <t>Business segments</t>
  </si>
  <si>
    <t>Geographic segments</t>
  </si>
  <si>
    <t>Upgrades</t>
  </si>
  <si>
    <t>Settlements</t>
  </si>
  <si>
    <t>Recoveries</t>
  </si>
  <si>
    <t>Share of profits of associates</t>
  </si>
  <si>
    <t>Income tax expense</t>
  </si>
  <si>
    <t>Capital expenditure</t>
  </si>
  <si>
    <t>Depreciation</t>
  </si>
  <si>
    <t>Gross customer loans</t>
  </si>
  <si>
    <t>Total assets (before goodwill)</t>
  </si>
  <si>
    <t>Rest of Greater China</t>
  </si>
  <si>
    <t>South and South-east Asia</t>
  </si>
  <si>
    <t>Rest of World</t>
  </si>
  <si>
    <t xml:space="preserve">Rest of Greater China </t>
  </si>
  <si>
    <t>Rest of the World</t>
  </si>
  <si>
    <t>Debt securities</t>
  </si>
  <si>
    <t>Contingent liabilities &amp; others</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</si>
  <si>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</si>
  <si>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</si>
  <si>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</si>
  <si>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</si>
  <si>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</si>
  <si>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</si>
  <si>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</si>
  <si>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</si>
  <si>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</si>
  <si>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</si>
  <si>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Professionals &amp; private individuals</t>
  </si>
  <si>
    <t>Net fee income</t>
  </si>
  <si>
    <t>Ordinary share data</t>
  </si>
  <si>
    <t>South and South-East Asia</t>
  </si>
  <si>
    <t>Less:</t>
  </si>
  <si>
    <t>Specific allowances</t>
  </si>
  <si>
    <t>Rest of the world</t>
  </si>
  <si>
    <t>Singapore dollar</t>
  </si>
  <si>
    <t>Hong Kong dollar</t>
  </si>
  <si>
    <t>US dollar</t>
  </si>
  <si>
    <t>Unsecured</t>
  </si>
  <si>
    <t>Non-performing assets</t>
  </si>
  <si>
    <t>Other data</t>
  </si>
  <si>
    <t>Income statement items (S$m)</t>
  </si>
  <si>
    <t>Balance sheet items (S$m)</t>
  </si>
  <si>
    <t>Depreciation of fixed assets (included in above items) (S$m)</t>
  </si>
  <si>
    <t>Total allowances</t>
  </si>
  <si>
    <t>Loss allowance coverage ratios (%)</t>
  </si>
  <si>
    <t>Balance sheet &amp; other items (S$m)</t>
  </si>
  <si>
    <t>Fixed deposits</t>
  </si>
  <si>
    <t>Savings accounts</t>
  </si>
  <si>
    <t>Current accounts</t>
  </si>
  <si>
    <t>Add: New NPAs</t>
  </si>
  <si>
    <t>Less: Write-offs</t>
  </si>
  <si>
    <t>Less: Net recoveries of existing NPAs</t>
  </si>
  <si>
    <t>NPAs at start of period</t>
  </si>
  <si>
    <t>NPAs at end of period</t>
  </si>
  <si>
    <t>Capital adequacy</t>
  </si>
  <si>
    <t>Tier 1</t>
  </si>
  <si>
    <t>Share capital</t>
  </si>
  <si>
    <t>Disclosed reserves and others</t>
  </si>
  <si>
    <t>Tier 2</t>
  </si>
  <si>
    <t>Loan allowances admitted as Tier 2</t>
  </si>
  <si>
    <t>Subordinated debts</t>
  </si>
  <si>
    <t>Revaluation surplus from equity securities</t>
  </si>
  <si>
    <t>Total eligible capital</t>
  </si>
  <si>
    <t>Tier 1 ratio</t>
  </si>
  <si>
    <t>Tier 2 ratio</t>
  </si>
  <si>
    <t>Total (Tier 1 &amp; 2) ratio</t>
  </si>
  <si>
    <t>Business mix</t>
  </si>
  <si>
    <t>Institutional banking</t>
  </si>
  <si>
    <t>Total income (as % of Group)</t>
  </si>
  <si>
    <t>Net profit (as % of Group)</t>
  </si>
  <si>
    <t>Total assets before goodwill (as % of Group)</t>
  </si>
  <si>
    <t>AFS reserve at end of period</t>
  </si>
  <si>
    <t>Available-for-sale portfolio</t>
  </si>
  <si>
    <t>Singapore government securities</t>
  </si>
  <si>
    <t>Other government securities</t>
  </si>
  <si>
    <t>Corporate debt securities</t>
  </si>
  <si>
    <t>Equities</t>
  </si>
  <si>
    <t>Less write-backs for:</t>
  </si>
  <si>
    <t>Add charges for:</t>
  </si>
  <si>
    <t>Movement in AFS reserves (S$m)</t>
  </si>
  <si>
    <t>Net interest income, average balances and rates</t>
  </si>
  <si>
    <t>Available-for-sale assets</t>
  </si>
  <si>
    <t>Segment results</t>
  </si>
  <si>
    <t>Earnings excluding one-time items (annualised)</t>
  </si>
  <si>
    <t>Earnings including one-time items (annualised)</t>
  </si>
  <si>
    <t>By classification</t>
  </si>
  <si>
    <t>Substandard</t>
  </si>
  <si>
    <t>Doubtful</t>
  </si>
  <si>
    <t>Loss</t>
  </si>
  <si>
    <t>By collateral type</t>
  </si>
  <si>
    <t>Secured by properties</t>
  </si>
  <si>
    <t>Secured by shares and debentures</t>
  </si>
  <si>
    <t>Secured by fixed deposits</t>
  </si>
  <si>
    <t>Other secured</t>
  </si>
  <si>
    <t>Total NPAs</t>
  </si>
  <si>
    <t>NPLs</t>
  </si>
  <si>
    <t>Other NPAs</t>
  </si>
  <si>
    <t>By period overdue</t>
  </si>
  <si>
    <t>Not overdue</t>
  </si>
  <si>
    <t>&lt;90 days overdue</t>
  </si>
  <si>
    <t>91-180 days overdue</t>
  </si>
  <si>
    <t>&gt;180 days overdue</t>
  </si>
  <si>
    <t>Specific allowances for NPAs</t>
  </si>
  <si>
    <t>Specific allowances for NPLs</t>
  </si>
  <si>
    <r>
      <t>NPA</t>
    </r>
    <r>
      <rPr>
        <sz val="11"/>
        <rFont val="Arial"/>
        <family val="2"/>
      </rPr>
      <t xml:space="preserve"> - Non-performing asset</t>
    </r>
  </si>
  <si>
    <r>
      <t>NPL</t>
    </r>
    <r>
      <rPr>
        <sz val="11"/>
        <rFont val="Arial"/>
        <family val="2"/>
      </rPr>
      <t xml:space="preserve"> - Non-performing loan</t>
    </r>
  </si>
  <si>
    <r>
      <t>SP</t>
    </r>
    <r>
      <rPr>
        <sz val="11"/>
        <rFont val="Arial"/>
        <family val="2"/>
      </rPr>
      <t xml:space="preserve"> - Specific allowance</t>
    </r>
  </si>
  <si>
    <r>
      <t>GP</t>
    </r>
    <r>
      <rPr>
        <sz val="11"/>
        <rFont val="Arial"/>
        <family val="2"/>
      </rPr>
      <t xml:space="preserve"> - General allowance</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</si>
  <si>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</si>
  <si>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</si>
  <si>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</si>
  <si>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</si>
  <si>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</si>
  <si>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</si>
  <si>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</si>
  <si>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</si>
  <si>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</si>
  <si>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</si>
  <si>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</si>
  <si>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</si>
  <si>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t>SP for loans/average loans (bp)</t>
  </si>
  <si>
    <r>
      <t>VaR</t>
    </r>
    <r>
      <rPr>
        <sz val="11"/>
        <rFont val="Arial"/>
        <family val="2"/>
      </rPr>
      <t xml:space="preserve"> - Value at risk</t>
    </r>
  </si>
  <si>
    <t>GP</t>
  </si>
  <si>
    <t>SP for loans</t>
  </si>
  <si>
    <t>SP for other assets</t>
  </si>
  <si>
    <t>New NPLs</t>
  </si>
  <si>
    <t>Existing NPLs</t>
  </si>
  <si>
    <t>Movement in SP for loans (S$m)</t>
  </si>
  <si>
    <t>Basic (average)</t>
  </si>
  <si>
    <t>Diluted (average)</t>
  </si>
  <si>
    <t>Basic (EOP)</t>
  </si>
  <si>
    <t>Diluted (EOP)</t>
  </si>
  <si>
    <r>
      <t>EOP</t>
    </r>
    <r>
      <rPr>
        <sz val="11"/>
        <rFont val="Arial"/>
        <family val="2"/>
      </rPr>
      <t xml:space="preserve"> - End of period</t>
    </r>
  </si>
  <si>
    <t>Cumulative SP</t>
  </si>
  <si>
    <t>Cumulative GP</t>
  </si>
  <si>
    <r>
      <t>AFS</t>
    </r>
    <r>
      <rPr>
        <sz val="11"/>
        <rFont val="Arial"/>
        <family val="2"/>
      </rPr>
      <t xml:space="preserve"> - Available-for-sale</t>
    </r>
  </si>
  <si>
    <t>AFS investments</t>
  </si>
  <si>
    <t>Breakdown of NPAs (S$m)</t>
  </si>
  <si>
    <t>Restructured NPAs</t>
  </si>
  <si>
    <t>Breakdown of NPLs (S$m)</t>
  </si>
  <si>
    <t>Group</t>
  </si>
  <si>
    <t>NPL and allowance coverage ratios</t>
  </si>
  <si>
    <t>Total allowances for NPAs / NPAs</t>
  </si>
  <si>
    <t>Total allowances for NPLs / NPLs</t>
  </si>
  <si>
    <t>Total allowances for NPLs / unsecured NPLs</t>
  </si>
  <si>
    <t>Cumulative loss allowances</t>
  </si>
  <si>
    <t>Total allowances for NPAs</t>
  </si>
  <si>
    <t>Breakdown of specific allowances (S$m)</t>
  </si>
  <si>
    <t>Breakdown of general allowances (S$m)</t>
  </si>
  <si>
    <t>Specific allowances for other NPAs</t>
  </si>
  <si>
    <t>General allowances for NPAs</t>
  </si>
  <si>
    <t>General allowances for NPLs</t>
  </si>
  <si>
    <t>General allowances for other NPAs</t>
  </si>
  <si>
    <t>Movement in NPAs (S$m)</t>
  </si>
  <si>
    <t>EOP value (S$m)</t>
  </si>
  <si>
    <t>Gross loans</t>
  </si>
  <si>
    <t>Net loans</t>
  </si>
  <si>
    <t>Breakdown of gross customer loans (S$m)</t>
  </si>
  <si>
    <t>Breakdown of customer deposits (S$m)</t>
  </si>
  <si>
    <t>NPL ratios (NPLs as % of loans)</t>
  </si>
  <si>
    <t>Breakdown of total allowances (S$m)</t>
  </si>
  <si>
    <t>Capital and RWA (S$m)</t>
  </si>
  <si>
    <t>RWA</t>
  </si>
  <si>
    <t>CAR (%)</t>
  </si>
  <si>
    <r>
      <t>RWA</t>
    </r>
    <r>
      <rPr>
        <sz val="11"/>
        <rFont val="Arial"/>
        <family val="2"/>
      </rPr>
      <t xml:space="preserve"> - Risk-weighted assets</t>
    </r>
  </si>
  <si>
    <t>Business and geographical mix</t>
  </si>
  <si>
    <t>Non-performing loan and coverage ratios</t>
  </si>
  <si>
    <t>4Q09</t>
  </si>
  <si>
    <t>FY09</t>
  </si>
  <si>
    <t>Number of shares ('m)</t>
  </si>
  <si>
    <t>Directors' fees (included in above items) (S$m)</t>
  </si>
  <si>
    <t>Audit fees payable (included in above items) (S$m)</t>
  </si>
  <si>
    <t>Total allowances for NPAs / unsecured NPAs</t>
  </si>
  <si>
    <t>-</t>
  </si>
  <si>
    <t>Preference dividends (S$m)</t>
  </si>
  <si>
    <t>In $ millions</t>
  </si>
  <si>
    <t>+/(-)</t>
  </si>
  <si>
    <t>%</t>
  </si>
  <si>
    <t>Income</t>
  </si>
  <si>
    <t>Net fee and commission income</t>
  </si>
  <si>
    <t>Net income from financial investments</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</si>
  <si>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</si>
  <si>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</si>
  <si>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</si>
  <si>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</si>
  <si>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</si>
  <si>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</si>
  <si>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</si>
  <si>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</si>
  <si>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Share of other comprehensive income of associates</t>
  </si>
  <si>
    <t xml:space="preserve">    Net valuation taken to equity</t>
  </si>
  <si>
    <t>Tax on items taken directly to or transferred from equity</t>
  </si>
  <si>
    <t>Other comprehensive income, net of tax</t>
  </si>
  <si>
    <t xml:space="preserve">Total comprehensive income </t>
  </si>
  <si>
    <t>GROUP</t>
  </si>
  <si>
    <t>COMPANY</t>
  </si>
  <si>
    <t>ASSETS</t>
  </si>
  <si>
    <t>Cash and balances with central banks</t>
  </si>
  <si>
    <t>Singapore Government securities and treasury bills</t>
  </si>
  <si>
    <t>Due from banks</t>
  </si>
  <si>
    <t>Positive fair values for financial derivatives</t>
  </si>
  <si>
    <t xml:space="preserve">Loans and advances to customers </t>
  </si>
  <si>
    <t>Financial investments</t>
  </si>
  <si>
    <t>Subsidiaries</t>
  </si>
  <si>
    <t>Investments in associates</t>
  </si>
  <si>
    <t>Goodwill on consolidation</t>
  </si>
  <si>
    <t>Properties and other fixed assets</t>
  </si>
  <si>
    <t>Investment properties</t>
  </si>
  <si>
    <t>Deferred tax assets</t>
  </si>
  <si>
    <t>Other assets</t>
  </si>
  <si>
    <t>TOTAL ASSETS</t>
  </si>
  <si>
    <t>LIABILITIES</t>
  </si>
  <si>
    <t xml:space="preserve">Due to banks  </t>
  </si>
  <si>
    <t>Due to non-bank customers</t>
  </si>
  <si>
    <t>Negative fair values for financial derivatives</t>
  </si>
  <si>
    <t>Bills payable</t>
  </si>
  <si>
    <t>Current tax liabilities</t>
  </si>
  <si>
    <t>Deferred tax liabilities</t>
  </si>
  <si>
    <t>Other liabilities</t>
  </si>
  <si>
    <t xml:space="preserve">Other debt securities in issue </t>
  </si>
  <si>
    <t xml:space="preserve">Subordinated term debts </t>
  </si>
  <si>
    <t xml:space="preserve">TOTAL LIABILITIES </t>
  </si>
  <si>
    <t>NET ASSETS</t>
  </si>
  <si>
    <t>EQUITY</t>
  </si>
  <si>
    <t>Treasury shares</t>
  </si>
  <si>
    <t>Other reserves</t>
  </si>
  <si>
    <t>Revenue reserves</t>
  </si>
  <si>
    <t>SHAREHOLDERS’ FUNDS</t>
  </si>
  <si>
    <t>TOTAL EQUITY</t>
  </si>
  <si>
    <t>OFF BALANCE SHEET ITEMS</t>
  </si>
  <si>
    <t>Financial derivatives</t>
  </si>
  <si>
    <t xml:space="preserve">In $ millions  </t>
  </si>
  <si>
    <t>Cash flows from operating activities</t>
  </si>
  <si>
    <t>Adjustments for non-cash items:</t>
  </si>
  <si>
    <t>Profit before changes in operating assets &amp; liabilities</t>
  </si>
  <si>
    <t>Increase/(Decrease) in:</t>
  </si>
  <si>
    <t>Due to banks</t>
  </si>
  <si>
    <t>Financial liabilities at fair value through profit or loss</t>
  </si>
  <si>
    <t>Other liabilities including bills payable</t>
  </si>
  <si>
    <t>Debt securities and borrowings</t>
  </si>
  <si>
    <t>Financial assets at fair value through profit or loss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</si>
  <si>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</si>
  <si>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</si>
  <si>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</si>
  <si>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</si>
  <si>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</si>
  <si>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</si>
  <si>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</si>
  <si>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</si>
  <si>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Net change in cash and cash equivalents (1)+(2)+(3)+(4)</t>
  </si>
  <si>
    <t xml:space="preserve">Cash and cash equivalents at 1 January </t>
  </si>
  <si>
    <t>Ratios (%) (excluding one-time items)</t>
  </si>
  <si>
    <t>Data used in earnings per share calculations</t>
  </si>
  <si>
    <t>Data used in net book value per share calculations</t>
  </si>
  <si>
    <t>Per basic share (S$) *</t>
  </si>
  <si>
    <t>Per diluted share (S$) *</t>
  </si>
  <si>
    <t>Net profit (before preference dividends) (S$m)</t>
  </si>
  <si>
    <t>Number of shares (excluding treasury shares) ('m)</t>
  </si>
  <si>
    <t>Net trading income</t>
  </si>
  <si>
    <t>Staff headcount (EOP)</t>
  </si>
  <si>
    <t>AFS reserve at start of period</t>
  </si>
  <si>
    <t>Net valuation taken to equity</t>
  </si>
  <si>
    <t xml:space="preserve">Tier 1 Deductions </t>
  </si>
  <si>
    <t>Tier 2 Deductions</t>
  </si>
  <si>
    <t>Consolidated income statement</t>
  </si>
  <si>
    <t>Consolidated balance sheet</t>
  </si>
  <si>
    <t>Consolidated cash flow statement</t>
  </si>
  <si>
    <t>1Q10</t>
  </si>
  <si>
    <t>Institutional Banking</t>
  </si>
  <si>
    <t>Treasury</t>
  </si>
  <si>
    <t>*</t>
  </si>
  <si>
    <t>2Q10</t>
  </si>
  <si>
    <r>
      <t xml:space="preserve">OTHER INFORMATION </t>
    </r>
    <r>
      <rPr>
        <b/>
        <sz val="11"/>
        <color indexed="8"/>
        <rFont val="Arial"/>
        <family val="2"/>
      </rPr>
      <t xml:space="preserve"> </t>
    </r>
  </si>
  <si>
    <t>Dividends paid to shareholders of the Company</t>
  </si>
  <si>
    <t>Goodwill charges</t>
  </si>
  <si>
    <t>Payment upon maturity of subordinated term debts</t>
  </si>
  <si>
    <t>Commitments</t>
  </si>
  <si>
    <t>Contingent liabilities</t>
  </si>
  <si>
    <t>3Q10</t>
  </si>
  <si>
    <t>Other non-interest income</t>
  </si>
  <si>
    <t xml:space="preserve">Net profit </t>
  </si>
  <si>
    <t>Net profit/(loss) including goodwill charges and one-time items</t>
  </si>
  <si>
    <t>4Q10</t>
  </si>
  <si>
    <t>FY10</t>
  </si>
  <si>
    <t>Per share data are adjusted for the rights issue announced on 22-Dec-08. An adjustment factor of 0.85 was applied based on the one-for-two entitlement and subscription price of $5.42 per rights share (a discount of approximately 45% to the pre-announcement closing price). A total of 760m rights shares were issued to raise $4.0 billion.</t>
  </si>
  <si>
    <t>By currency</t>
  </si>
  <si>
    <t>1Q11</t>
  </si>
  <si>
    <t xml:space="preserve">Unaudited Consolidated Statement of Comprehensive Income </t>
  </si>
  <si>
    <t>Profit</t>
  </si>
  <si>
    <t xml:space="preserve">Profit before tax </t>
  </si>
  <si>
    <t>2Q11</t>
  </si>
  <si>
    <r>
      <t xml:space="preserve">   </t>
    </r>
    <r>
      <rPr>
        <sz val="11"/>
        <rFont val="Arial"/>
        <family val="2"/>
      </rPr>
      <t>Non-controlling interests</t>
    </r>
  </si>
  <si>
    <t xml:space="preserve">Non-controlling interests  </t>
  </si>
  <si>
    <t>Dividends paid to non-controlling interests</t>
  </si>
  <si>
    <t>3Q11</t>
  </si>
  <si>
    <t>Cash flow hedge reserve at start of period</t>
  </si>
  <si>
    <t>Cash flow hedge reserve at end of period</t>
  </si>
  <si>
    <t>Cash flow hedges</t>
  </si>
  <si>
    <t>4Q11</t>
  </si>
  <si>
    <t>FY11</t>
  </si>
  <si>
    <t>1Q12</t>
  </si>
  <si>
    <t>Fee and commission income</t>
  </si>
  <si>
    <t>Less: fee and commission expense</t>
  </si>
  <si>
    <t>(i) Basic</t>
  </si>
  <si>
    <t>(ii) Diluted</t>
  </si>
  <si>
    <t xml:space="preserve">By business unit </t>
  </si>
  <si>
    <t xml:space="preserve">By geography </t>
  </si>
  <si>
    <t>Net gain on disposal (net of write-off) of properties and other fixed assets</t>
  </si>
  <si>
    <t>Share of associates' reserve</t>
  </si>
  <si>
    <t xml:space="preserve">    Transferred to income statement </t>
  </si>
  <si>
    <t xml:space="preserve">Transferred to income statement </t>
  </si>
  <si>
    <t>2Q12</t>
  </si>
  <si>
    <t>Available-for-sale financial assets</t>
  </si>
  <si>
    <t>Consumer Banking/ Wealth Management</t>
  </si>
  <si>
    <t>Restricted balances with central banks</t>
  </si>
  <si>
    <t>Net cash used in financing activities (3)</t>
  </si>
  <si>
    <t xml:space="preserve">Increase in share capital </t>
  </si>
  <si>
    <t>3Q12</t>
  </si>
  <si>
    <t>Interbank liabilities</t>
  </si>
  <si>
    <t>Consumer Banking/Wealth Management</t>
  </si>
  <si>
    <t>FY12</t>
  </si>
  <si>
    <t>4Q12</t>
  </si>
  <si>
    <t>Cash and cash equivalents at 31 December</t>
  </si>
  <si>
    <t>Securities pledged and transferred</t>
  </si>
  <si>
    <t>1Q13</t>
  </si>
  <si>
    <t>Net book value per share ($)</t>
  </si>
  <si>
    <t>Net profit for the period</t>
  </si>
  <si>
    <t>Trade and transaction services</t>
  </si>
  <si>
    <t>Share Capital</t>
  </si>
  <si>
    <t>Regulatory adjustments due to insufficient AT1 capital</t>
  </si>
  <si>
    <t>CET 1</t>
  </si>
  <si>
    <t>AT1 Capital Instruments</t>
  </si>
  <si>
    <t>Total regulatory adjustments to AT1 capital</t>
  </si>
  <si>
    <t>Tier 1 capital</t>
  </si>
  <si>
    <t>Provisions</t>
  </si>
  <si>
    <t>Tier 2 capital instruments</t>
  </si>
  <si>
    <t>Total regulatory adjustments to Tier 2 capital</t>
  </si>
  <si>
    <t xml:space="preserve">Total capital </t>
  </si>
  <si>
    <t>Risk-weighted assets</t>
  </si>
  <si>
    <t>Capital Adequacy Ratio (“CAR”) (%)</t>
  </si>
  <si>
    <t>Total</t>
  </si>
  <si>
    <t>Pro forma CET1 under final rules effective 1 Jan 2018</t>
  </si>
  <si>
    <t>NA</t>
  </si>
  <si>
    <t>Note</t>
  </si>
  <si>
    <t>Note:</t>
  </si>
  <si>
    <t>From 1 January 2013, DBS Vickers Securities, which provides equities and derivatives brokerage services, has been classified under the "Others" segment. Historical figures in 2012 have been reclassified accordingly.</t>
  </si>
  <si>
    <t>Breakdown for fee and commission income by categories were on a net basis from 2008 to 2010.</t>
  </si>
  <si>
    <t>With effect from 1 Jan 2013, certain loans to investment holding companies have been reclassified to better reflect the underlying principal activity of the companies owned by the holding company. The amounts for 2012 have also been reclassified to conform to the current presentation.</t>
  </si>
  <si>
    <t>2Q13</t>
  </si>
  <si>
    <t>2nd Qtr 2013</t>
  </si>
  <si>
    <t>Decrease/(Increase) in:</t>
  </si>
  <si>
    <t>Net cash generated from/(used in) operating activities (1)</t>
  </si>
  <si>
    <t>Issuance of subordinated term debts</t>
  </si>
  <si>
    <t>1H12</t>
  </si>
  <si>
    <t>1H13</t>
  </si>
  <si>
    <t>1H13
vs 
1H12</t>
  </si>
  <si>
    <t>Professionals &amp; private individuals 
(excluding housing loans)</t>
  </si>
  <si>
    <t>Note:-</t>
  </si>
  <si>
    <t xml:space="preserve">With effect from 1 January 2013, Basel III capital adequacy requirements came into effect in Singapore. 
</t>
  </si>
  <si>
    <t xml:space="preserve">Capital adequacy disclosures relating to dates prior to 1 January 2013 are calculated in accordance with the then prevailing capital adequacy regulations and are </t>
  </si>
  <si>
    <t>thus not directly comparable to those pertaining to dates from 1 January 2013.</t>
  </si>
  <si>
    <t>nm</t>
  </si>
  <si>
    <t>Purchase of treasury shares</t>
  </si>
  <si>
    <t>Proceeds from disposal of associates</t>
  </si>
  <si>
    <t>Net cash (used in)/generated from investing activities (2)</t>
  </si>
  <si>
    <t>Professionals &amp; private individuals (excluding housing loans)</t>
  </si>
  <si>
    <t>Net gain/(loss) from financial instruments designated at fair value</t>
  </si>
  <si>
    <t>Financial Data Supplement for the Third Quarter ended 30 Sep 2013</t>
  </si>
  <si>
    <t>3Q13</t>
  </si>
  <si>
    <t>3Q13
vs 
2Q13</t>
  </si>
  <si>
    <t>3Q13
vs 
3Q12</t>
  </si>
  <si>
    <t>3rd Qtr 2013</t>
  </si>
  <si>
    <t>3rd Qtr 2012</t>
  </si>
  <si>
    <t>9 Mths</t>
  </si>
  <si>
    <t>BABk to Index</t>
  </si>
  <si>
    <t>From 1 Jan 2013, DBS Vickers Securities, which provides equities and derivative brokerage services, has been classified under the "Others" segment. 2012 figures have been reclassified ABcordingly.</t>
  </si>
  <si>
    <t>9 Mths 2013</t>
  </si>
  <si>
    <t>9 Mths 2012</t>
  </si>
  <si>
    <t>1st Qtr 2013</t>
  </si>
  <si>
    <t>9M12</t>
  </si>
  <si>
    <t>9M13</t>
  </si>
  <si>
    <t>9M13
vs 
9M12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</si>
</sst>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0.000_);\(#,##0.000\)"/>
    <numFmt numFmtId="168" formatCode="[$-409]d\-mmm;@"/>
    <numFmt numFmtId="169" formatCode="0_);\(0\)"/>
    <numFmt numFmtId="170" formatCode="\-"/>
    <numFmt numFmtId="171" formatCode="0.0_);\(0.0\)"/>
  </numFmts>
  <fonts count="91">
    <font>
      <sz val="10"/>
      <name val="Arial"/>
      <family val="0"/>
    </font>
    <font>
      <sz val="11"/>
      <color indexed="8"/>
      <name val="Calibri"/>
      <family val="2"/>
    </font>
    <font>
      <sz val="8"/>
      <name val="Arial"/>
      <family val="2"/>
    </font>
    <font>
      <b/>
      <sz val="16"/>
      <color indexed="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u val="single"/>
      <sz val="11"/>
      <name val="Arial"/>
      <family val="2"/>
    </font>
    <font>
      <b/>
      <u val="single"/>
      <sz val="11"/>
      <name val="Arial"/>
      <family val="2"/>
    </font>
    <font>
      <b/>
      <sz val="16"/>
      <color indexed="9"/>
      <name val="Arial"/>
      <family val="2"/>
    </font>
    <font>
      <u val="single"/>
      <sz val="10"/>
      <color indexed="9"/>
      <name val="Arial"/>
      <family val="2"/>
    </font>
    <font>
      <b/>
      <i/>
      <sz val="11"/>
      <name val="Arial"/>
      <family val="2"/>
    </font>
    <font>
      <u val="single"/>
      <sz val="11"/>
      <color indexed="12"/>
      <name val="Arial"/>
      <family val="2"/>
    </font>
    <font>
      <sz val="11"/>
      <color indexed="12"/>
      <name val="Arial"/>
      <family val="2"/>
    </font>
    <font>
      <b/>
      <sz val="11"/>
      <color indexed="12"/>
      <name val="Arial"/>
      <family val="2"/>
    </font>
    <font>
      <i/>
      <sz val="11"/>
      <color indexed="9"/>
      <name val="Arial"/>
      <family val="2"/>
    </font>
    <font>
      <sz val="10"/>
      <color indexed="12"/>
      <name val="Arial"/>
      <family val="2"/>
    </font>
    <font>
      <sz val="11"/>
      <color indexed="48"/>
      <name val="Arial"/>
      <family val="2"/>
    </font>
    <font>
      <i/>
      <sz val="11"/>
      <name val="Arial"/>
      <family val="2"/>
    </font>
    <font>
      <sz val="11"/>
      <color indexed="8"/>
      <name val="Arial"/>
      <family val="2"/>
    </font>
    <font>
      <sz val="11"/>
      <color indexed="10"/>
      <name val="Arial"/>
      <family val="2"/>
    </font>
    <font>
      <i/>
      <sz val="11"/>
      <color indexed="8"/>
      <name val="Arial"/>
      <family val="2"/>
    </font>
    <font>
      <b/>
      <sz val="8"/>
      <name val="Arial"/>
      <family val="2"/>
    </font>
    <font>
      <sz val="11"/>
      <color indexed="17"/>
      <name val="Arial"/>
      <family val="2"/>
    </font>
    <font>
      <b/>
      <sz val="11"/>
      <color indexed="17"/>
      <name val="Arial"/>
      <family val="2"/>
    </font>
    <font>
      <sz val="10"/>
      <color indexed="17"/>
      <name val="Arial"/>
      <family val="2"/>
    </font>
    <font>
      <sz val="9"/>
      <color indexed="12"/>
      <name val="Arial"/>
      <family val="2"/>
    </font>
    <font>
      <i/>
      <sz val="11"/>
      <color indexed="47"/>
      <name val="Arial"/>
      <family val="2"/>
    </font>
    <font>
      <sz val="11"/>
      <color indexed="60"/>
      <name val="Arial"/>
      <family val="2"/>
    </font>
    <font>
      <sz val="9"/>
      <name val="Arial"/>
      <family val="2"/>
    </font>
    <font>
      <i/>
      <sz val="11"/>
      <color indexed="12"/>
      <name val="Arial"/>
      <family val="2"/>
    </font>
    <font>
      <b/>
      <sz val="11"/>
      <color indexed="30"/>
      <name val="Arial"/>
      <family val="2"/>
    </font>
    <font>
      <sz val="11"/>
      <color indexed="30"/>
      <name val="Arial"/>
      <family val="2"/>
    </font>
    <font>
      <sz val="11"/>
      <color indexed="47"/>
      <name val="Arial"/>
      <family val="2"/>
    </font>
    <font>
      <b/>
      <sz val="8"/>
      <color indexed="12"/>
      <name val="Arial"/>
      <family val="2"/>
    </font>
    <font>
      <b/>
      <sz val="10"/>
      <color indexed="10"/>
      <name val="Arial"/>
      <family val="2"/>
    </font>
    <font>
      <b/>
      <sz val="11"/>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name val="Arial"/>
      <family val="2"/>
    </font>
    <font>
      <sz val="11"/>
      <color theme="0"/>
      <name val="Arial"/>
      <family val="2"/>
    </font>
    <font>
      <sz val="11"/>
      <color rgb="FF0070C0"/>
      <name val="Arial"/>
      <family val="2"/>
    </font>
    <font>
      <b/>
      <sz val="11"/>
      <color rgb="FF0070C0"/>
      <name val="Arial"/>
      <family val="2"/>
    </font>
    <font>
      <sz val="11"/>
      <color theme="9" tint="0.5999900102615356"/>
      <name val="Arial"/>
      <family val="2"/>
    </font>
    <font>
      <sz val="11"/>
      <color theme="1"/>
      <name val="Arial"/>
      <family val="2"/>
    </font>
    <font>
      <sz val="11"/>
      <color rgb="FF0000FF"/>
      <name val="Arial"/>
      <family val="2"/>
    </font>
    <font>
      <b/>
      <sz val="11"/>
      <color rgb="FF0000FF"/>
      <name val="Arial"/>
      <family val="2"/>
    </font>
    <font>
      <i/>
      <sz val="11"/>
      <color rgb="FF0000FF"/>
      <name val="Arial"/>
      <family val="2"/>
    </font>
    <font>
      <sz val="10"/>
      <color rgb="FF0000FF"/>
      <name val="Arial"/>
      <family val="2"/>
    </font>
    <font>
      <b/>
      <sz val="8"/>
      <color rgb="FF0000FF"/>
      <name val="Arial"/>
      <family val="2"/>
    </font>
    <font>
      <sz val="9"/>
      <color rgb="FF0000FF"/>
      <name val="Arial"/>
      <family val="2"/>
    </font>
    <font>
      <i/>
      <sz val="11"/>
      <color rgb="FFFBC497"/>
      <name val="Arial"/>
      <family val="2"/>
    </font>
    <font>
      <b/>
      <sz val="11"/>
      <color theme="1"/>
      <name val="Arial"/>
      <family val="2"/>
    </font>
    <font>
      <b/>
      <sz val="10"/>
      <color rgb="FFFF0000"/>
      <name val="Arial"/>
      <family val="2"/>
    </font>
    <font>
      <b/>
      <sz val="11"/>
      <color rgb="FFFF0000"/>
      <name val="Arial"/>
      <family val="2"/>
    </font>
    <font>
      <sz val="11"/>
      <color rgb="FFFF0000"/>
      <name val="Arial"/>
      <family val="2"/>
    </font>
    <font>
      <sz val="11"/>
      <color rgb="FFFBC497"/>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medium"/>
    </border>
    <border>
      <left/>
      <right/>
      <top/>
      <bottom style="thick"/>
    </border>
    <border>
      <left/>
      <right/>
      <top style="thick"/>
      <bottom/>
    </border>
    <border>
      <left/>
      <right/>
      <top style="medium"/>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08">
    <xf numFmtId="0" fontId="0" fillId="0" borderId="0" xfId="0" applyAlignment="1">
      <alignment/>
    </xf>
    <xf numFmtId="0" fontId="0" fillId="33" borderId="0" xfId="0" applyFill="1" applyAlignment="1">
      <alignment/>
    </xf>
    <xf numFmtId="0" fontId="3" fillId="33" borderId="0" xfId="0" applyFont="1" applyFill="1" applyAlignment="1">
      <alignment horizontal="left"/>
    </xf>
    <xf numFmtId="0" fontId="0" fillId="33" borderId="0" xfId="0" applyFill="1" applyAlignment="1">
      <alignment horizontal="left"/>
    </xf>
    <xf numFmtId="0" fontId="0" fillId="33" borderId="0" xfId="0" applyFill="1" applyAlignment="1">
      <alignment/>
    </xf>
    <xf numFmtId="0" fontId="4" fillId="0" borderId="0" xfId="0" applyFont="1" applyFill="1" applyBorder="1" applyAlignment="1">
      <alignment horizontal="left"/>
    </xf>
    <xf numFmtId="0" fontId="4" fillId="0" borderId="0" xfId="0" applyFont="1" applyFill="1" applyBorder="1" applyAlignment="1">
      <alignment wrapText="1"/>
    </xf>
    <xf numFmtId="0" fontId="5" fillId="0" borderId="0" xfId="0" applyFont="1" applyFill="1" applyBorder="1" applyAlignment="1">
      <alignment horizontal="left"/>
    </xf>
    <xf numFmtId="0" fontId="5" fillId="0" borderId="0" xfId="0" applyFont="1" applyFill="1" applyBorder="1" applyAlignment="1">
      <alignment horizontal="right" wrapText="1"/>
    </xf>
    <xf numFmtId="0" fontId="5" fillId="0" borderId="0" xfId="0" applyFont="1" applyFill="1" applyBorder="1" applyAlignment="1">
      <alignment/>
    </xf>
    <xf numFmtId="0" fontId="4" fillId="0"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Alignment="1">
      <alignment/>
    </xf>
    <xf numFmtId="0" fontId="4" fillId="33" borderId="0" xfId="0" applyFont="1" applyFill="1" applyAlignment="1">
      <alignment/>
    </xf>
    <xf numFmtId="0" fontId="4" fillId="33" borderId="0" xfId="0" applyFont="1" applyFill="1" applyAlignment="1">
      <alignment horizontal="left"/>
    </xf>
    <xf numFmtId="37" fontId="5" fillId="0" borderId="0" xfId="0" applyNumberFormat="1" applyFont="1" applyFill="1" applyBorder="1" applyAlignment="1">
      <alignment horizontal="right"/>
    </xf>
    <xf numFmtId="37" fontId="5" fillId="34" borderId="0" xfId="0" applyNumberFormat="1" applyFont="1" applyFill="1" applyBorder="1" applyAlignment="1">
      <alignment horizontal="right"/>
    </xf>
    <xf numFmtId="37" fontId="5"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left"/>
    </xf>
    <xf numFmtId="37" fontId="4" fillId="0" borderId="0" xfId="0" applyNumberFormat="1" applyFont="1" applyFill="1" applyBorder="1" applyAlignment="1">
      <alignment/>
    </xf>
    <xf numFmtId="37" fontId="5" fillId="0" borderId="0" xfId="0" applyNumberFormat="1" applyFont="1" applyFill="1" applyBorder="1" applyAlignment="1">
      <alignment/>
    </xf>
    <xf numFmtId="0" fontId="4" fillId="0" borderId="0" xfId="0" applyFont="1" applyFill="1" applyBorder="1" applyAlignment="1">
      <alignment/>
    </xf>
    <xf numFmtId="37" fontId="4" fillId="0" borderId="0" xfId="0" applyNumberFormat="1" applyFont="1" applyFill="1" applyBorder="1" applyAlignment="1">
      <alignment/>
    </xf>
    <xf numFmtId="39" fontId="5" fillId="0"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39" fontId="4" fillId="0" borderId="0" xfId="0" applyNumberFormat="1" applyFont="1" applyFill="1" applyBorder="1" applyAlignment="1">
      <alignment wrapText="1"/>
    </xf>
    <xf numFmtId="37" fontId="5" fillId="0" borderId="0" xfId="0" applyNumberFormat="1" applyFont="1" applyFill="1" applyBorder="1" applyAlignment="1">
      <alignment/>
    </xf>
    <xf numFmtId="37" fontId="5" fillId="0" borderId="0" xfId="0" applyNumberFormat="1" applyFont="1" applyFill="1" applyBorder="1" applyAlignment="1">
      <alignment wrapText="1"/>
    </xf>
    <xf numFmtId="37" fontId="4" fillId="0" borderId="0" xfId="0" applyNumberFormat="1" applyFont="1" applyFill="1" applyBorder="1" applyAlignment="1">
      <alignment wrapText="1"/>
    </xf>
    <xf numFmtId="37" fontId="4" fillId="0" borderId="0" xfId="0" applyNumberFormat="1" applyFont="1" applyFill="1" applyBorder="1" applyAlignment="1">
      <alignment/>
    </xf>
    <xf numFmtId="37" fontId="4" fillId="0" borderId="0" xfId="0" applyNumberFormat="1" applyFont="1" applyFill="1" applyBorder="1" applyAlignment="1" quotePrefix="1">
      <alignment horizontal="left"/>
    </xf>
    <xf numFmtId="37" fontId="4" fillId="0" borderId="0" xfId="0" applyNumberFormat="1" applyFont="1" applyFill="1" applyBorder="1" applyAlignment="1">
      <alignment/>
    </xf>
    <xf numFmtId="0" fontId="5" fillId="33" borderId="0" xfId="0" applyFont="1" applyFill="1" applyAlignment="1">
      <alignment horizontal="right"/>
    </xf>
    <xf numFmtId="0" fontId="4" fillId="0" borderId="0" xfId="0" applyFont="1" applyAlignment="1">
      <alignment vertical="top"/>
    </xf>
    <xf numFmtId="0" fontId="4" fillId="0" borderId="0" xfId="0" applyFont="1" applyAlignment="1">
      <alignment/>
    </xf>
    <xf numFmtId="0" fontId="11" fillId="0" borderId="0" xfId="0" applyFont="1" applyFill="1" applyBorder="1" applyAlignment="1">
      <alignment/>
    </xf>
    <xf numFmtId="0" fontId="12" fillId="35" borderId="10" xfId="0" applyFont="1" applyFill="1" applyBorder="1" applyAlignment="1">
      <alignment horizontal="left"/>
    </xf>
    <xf numFmtId="37" fontId="9" fillId="35" borderId="10" xfId="0" applyNumberFormat="1" applyFont="1" applyFill="1" applyBorder="1" applyAlignment="1">
      <alignment horizontal="left"/>
    </xf>
    <xf numFmtId="37" fontId="9" fillId="35" borderId="10" xfId="0" applyNumberFormat="1" applyFont="1" applyFill="1" applyBorder="1" applyAlignment="1">
      <alignment horizontal="right"/>
    </xf>
    <xf numFmtId="37" fontId="8" fillId="35" borderId="11" xfId="0" applyNumberFormat="1" applyFont="1" applyFill="1" applyBorder="1" applyAlignment="1">
      <alignment horizontal="center"/>
    </xf>
    <xf numFmtId="37" fontId="8" fillId="35" borderId="11" xfId="0" applyNumberFormat="1" applyFont="1" applyFill="1" applyBorder="1" applyAlignment="1">
      <alignment horizontal="center" wrapText="1"/>
    </xf>
    <xf numFmtId="37" fontId="11" fillId="0" borderId="0" xfId="0" applyNumberFormat="1" applyFont="1" applyFill="1" applyBorder="1" applyAlignment="1">
      <alignment horizontal="left"/>
    </xf>
    <xf numFmtId="0" fontId="11" fillId="0" borderId="0" xfId="0" applyFont="1" applyFill="1" applyBorder="1" applyAlignment="1">
      <alignment/>
    </xf>
    <xf numFmtId="39" fontId="11" fillId="0" borderId="0" xfId="0" applyNumberFormat="1" applyFont="1" applyFill="1" applyBorder="1" applyAlignment="1">
      <alignment/>
    </xf>
    <xf numFmtId="0" fontId="14" fillId="0" borderId="0" xfId="0" applyFont="1" applyFill="1" applyBorder="1" applyAlignment="1">
      <alignment/>
    </xf>
    <xf numFmtId="39" fontId="4" fillId="0" borderId="0" xfId="0" applyNumberFormat="1" applyFont="1" applyFill="1" applyBorder="1" applyAlignment="1">
      <alignment horizontal="left"/>
    </xf>
    <xf numFmtId="39" fontId="4" fillId="0" borderId="0" xfId="0" applyNumberFormat="1" applyFont="1" applyFill="1" applyBorder="1" applyAlignment="1">
      <alignment horizontal="right"/>
    </xf>
    <xf numFmtId="39" fontId="11" fillId="0" borderId="0" xfId="0" applyNumberFormat="1" applyFont="1" applyFill="1" applyBorder="1" applyAlignment="1">
      <alignment/>
    </xf>
    <xf numFmtId="39" fontId="5" fillId="0" borderId="0" xfId="0" applyNumberFormat="1" applyFont="1" applyFill="1" applyBorder="1" applyAlignment="1">
      <alignment horizontal="left"/>
    </xf>
    <xf numFmtId="39" fontId="5" fillId="0" borderId="0" xfId="0" applyNumberFormat="1" applyFont="1" applyFill="1" applyBorder="1" applyAlignment="1">
      <alignment horizontal="right"/>
    </xf>
    <xf numFmtId="39" fontId="5" fillId="0" borderId="0" xfId="0" applyNumberFormat="1" applyFont="1" applyFill="1" applyBorder="1" applyAlignment="1">
      <alignment horizontal="right" wrapText="1"/>
    </xf>
    <xf numFmtId="39" fontId="4" fillId="0" borderId="0" xfId="0" applyNumberFormat="1" applyFont="1" applyFill="1" applyBorder="1" applyAlignment="1">
      <alignment/>
    </xf>
    <xf numFmtId="39" fontId="5" fillId="0" borderId="0" xfId="0" applyNumberFormat="1" applyFont="1" applyFill="1" applyBorder="1" applyAlignment="1">
      <alignment/>
    </xf>
    <xf numFmtId="37" fontId="14" fillId="0" borderId="0" xfId="0" applyNumberFormat="1" applyFont="1" applyFill="1" applyBorder="1" applyAlignment="1">
      <alignment horizontal="left"/>
    </xf>
    <xf numFmtId="39" fontId="4" fillId="0" borderId="0" xfId="0" applyNumberFormat="1" applyFont="1" applyFill="1" applyBorder="1" applyAlignment="1">
      <alignment/>
    </xf>
    <xf numFmtId="164" fontId="4" fillId="0" borderId="0" xfId="0" applyNumberFormat="1" applyFont="1" applyFill="1" applyBorder="1" applyAlignment="1">
      <alignment horizontal="left"/>
    </xf>
    <xf numFmtId="164" fontId="4" fillId="0" borderId="0" xfId="0" applyNumberFormat="1" applyFont="1" applyFill="1" applyBorder="1" applyAlignment="1">
      <alignment horizontal="right"/>
    </xf>
    <xf numFmtId="164" fontId="5" fillId="0" borderId="0" xfId="0" applyNumberFormat="1" applyFont="1" applyFill="1" applyBorder="1" applyAlignment="1">
      <alignment horizontal="left"/>
    </xf>
    <xf numFmtId="164" fontId="14" fillId="0" borderId="0" xfId="0" applyNumberFormat="1" applyFont="1" applyFill="1" applyBorder="1" applyAlignment="1">
      <alignment/>
    </xf>
    <xf numFmtId="164" fontId="14" fillId="0" borderId="0" xfId="0" applyNumberFormat="1" applyFont="1" applyFill="1" applyBorder="1" applyAlignment="1">
      <alignment horizontal="left"/>
    </xf>
    <xf numFmtId="164" fontId="5" fillId="0" borderId="0" xfId="0" applyNumberFormat="1" applyFont="1" applyFill="1" applyBorder="1" applyAlignment="1">
      <alignment horizontal="right"/>
    </xf>
    <xf numFmtId="0" fontId="11" fillId="0" borderId="0" xfId="0" applyFont="1" applyAlignment="1">
      <alignment/>
    </xf>
    <xf numFmtId="0" fontId="4" fillId="0" borderId="0" xfId="0" applyFont="1" applyAlignment="1">
      <alignment/>
    </xf>
    <xf numFmtId="0" fontId="5" fillId="0" borderId="0" xfId="0" applyFont="1" applyAlignment="1">
      <alignment/>
    </xf>
    <xf numFmtId="0" fontId="15" fillId="33" borderId="0" xfId="52" applyFont="1" applyFill="1" applyAlignment="1" applyProtection="1">
      <alignment/>
      <protection/>
    </xf>
    <xf numFmtId="37" fontId="10" fillId="0" borderId="0" xfId="52" applyNumberFormat="1" applyFont="1" applyFill="1" applyBorder="1" applyAlignment="1" applyProtection="1">
      <alignment wrapText="1"/>
      <protection/>
    </xf>
    <xf numFmtId="37" fontId="11" fillId="0" borderId="0" xfId="0" applyNumberFormat="1" applyFont="1" applyFill="1" applyBorder="1" applyAlignment="1">
      <alignment/>
    </xf>
    <xf numFmtId="37" fontId="4" fillId="0" borderId="0" xfId="0" applyNumberFormat="1" applyFont="1" applyAlignment="1">
      <alignment horizontal="right" wrapText="1"/>
    </xf>
    <xf numFmtId="37" fontId="8" fillId="35" borderId="11" xfId="0" applyNumberFormat="1" applyFont="1" applyFill="1" applyBorder="1" applyAlignment="1">
      <alignment horizontal="right"/>
    </xf>
    <xf numFmtId="37" fontId="8" fillId="35" borderId="11" xfId="0" applyNumberFormat="1" applyFont="1" applyFill="1" applyBorder="1" applyAlignment="1">
      <alignment horizontal="right" wrapText="1"/>
    </xf>
    <xf numFmtId="37"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4" fillId="0" borderId="0" xfId="0" applyFont="1" applyFill="1" applyBorder="1" applyAlignment="1">
      <alignment vertical="top"/>
    </xf>
    <xf numFmtId="0" fontId="4" fillId="0" borderId="0" xfId="0" applyFont="1" applyBorder="1" applyAlignment="1">
      <alignment vertical="top"/>
    </xf>
    <xf numFmtId="164" fontId="4" fillId="0" borderId="0" xfId="0" applyNumberFormat="1" applyFont="1" applyFill="1" applyBorder="1" applyAlignment="1">
      <alignment vertical="top"/>
    </xf>
    <xf numFmtId="0" fontId="4" fillId="0" borderId="0" xfId="0" applyFont="1" applyAlignment="1">
      <alignment/>
    </xf>
    <xf numFmtId="0" fontId="5" fillId="0" borderId="0" xfId="0" applyFont="1" applyBorder="1" applyAlignment="1">
      <alignment vertical="top" wrapText="1"/>
    </xf>
    <xf numFmtId="0" fontId="5" fillId="33" borderId="0" xfId="0" applyFont="1" applyFill="1" applyAlignment="1">
      <alignmen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wrapText="1"/>
    </xf>
    <xf numFmtId="164" fontId="4" fillId="0" borderId="0" xfId="0" applyNumberFormat="1" applyFont="1" applyBorder="1" applyAlignment="1">
      <alignment horizontal="right" wrapText="1"/>
    </xf>
    <xf numFmtId="39" fontId="4" fillId="0" borderId="0" xfId="0" applyNumberFormat="1" applyFont="1" applyFill="1" applyBorder="1" applyAlignment="1">
      <alignment horizontal="right" wrapText="1"/>
    </xf>
    <xf numFmtId="39" fontId="10" fillId="0" borderId="0" xfId="52" applyNumberFormat="1" applyFont="1" applyFill="1" applyBorder="1" applyAlignment="1" applyProtection="1">
      <alignment wrapText="1"/>
      <protection/>
    </xf>
    <xf numFmtId="37" fontId="11" fillId="0" borderId="0" xfId="0" applyNumberFormat="1" applyFont="1" applyFill="1" applyBorder="1" applyAlignment="1">
      <alignment/>
    </xf>
    <xf numFmtId="37" fontId="5" fillId="0" borderId="0" xfId="0" applyNumberFormat="1" applyFont="1" applyFill="1" applyBorder="1" applyAlignment="1">
      <alignment vertical="top" wrapText="1"/>
    </xf>
    <xf numFmtId="37" fontId="4" fillId="0" borderId="0" xfId="0" applyNumberFormat="1" applyFont="1" applyFill="1" applyBorder="1" applyAlignment="1">
      <alignment vertical="top" wrapText="1"/>
    </xf>
    <xf numFmtId="37" fontId="14" fillId="0" borderId="0" xfId="0" applyNumberFormat="1" applyFont="1" applyFill="1" applyBorder="1" applyAlignment="1">
      <alignment/>
    </xf>
    <xf numFmtId="37" fontId="4" fillId="0" borderId="0" xfId="0" applyNumberFormat="1" applyFont="1" applyBorder="1" applyAlignment="1">
      <alignment/>
    </xf>
    <xf numFmtId="37" fontId="4" fillId="0" borderId="0" xfId="0" applyNumberFormat="1" applyFont="1" applyFill="1" applyBorder="1" applyAlignment="1">
      <alignment vertical="top"/>
    </xf>
    <xf numFmtId="37" fontId="4" fillId="0" borderId="0" xfId="0" applyNumberFormat="1" applyFont="1" applyBorder="1" applyAlignment="1">
      <alignment vertical="top"/>
    </xf>
    <xf numFmtId="0" fontId="16" fillId="33" borderId="0" xfId="0" applyFont="1" applyFill="1" applyAlignment="1">
      <alignment/>
    </xf>
    <xf numFmtId="0" fontId="17" fillId="33" borderId="0" xfId="0" applyFont="1" applyFill="1" applyAlignment="1">
      <alignment horizontal="left"/>
    </xf>
    <xf numFmtId="0" fontId="16" fillId="33" borderId="0" xfId="0" applyFont="1" applyFill="1" applyAlignment="1">
      <alignment/>
    </xf>
    <xf numFmtId="0" fontId="5" fillId="33" borderId="0" xfId="0" applyFont="1" applyFill="1" applyAlignment="1">
      <alignment horizontal="left"/>
    </xf>
    <xf numFmtId="0" fontId="14" fillId="33" borderId="0" xfId="0" applyFont="1" applyFill="1" applyAlignment="1">
      <alignment/>
    </xf>
    <xf numFmtId="37" fontId="4" fillId="0" borderId="0" xfId="0" applyNumberFormat="1" applyFont="1" applyBorder="1" applyAlignment="1">
      <alignment vertical="top"/>
    </xf>
    <xf numFmtId="37" fontId="4" fillId="0" borderId="0" xfId="0" applyNumberFormat="1" applyFont="1" applyAlignment="1">
      <alignment vertical="top"/>
    </xf>
    <xf numFmtId="37" fontId="4" fillId="0" borderId="0" xfId="0" applyNumberFormat="1" applyFont="1" applyAlignment="1">
      <alignment/>
    </xf>
    <xf numFmtId="0" fontId="4" fillId="0" borderId="0" xfId="0" applyFont="1" applyAlignment="1">
      <alignment horizontal="right" wrapText="1"/>
    </xf>
    <xf numFmtId="166" fontId="5" fillId="0" borderId="0" xfId="42" applyNumberFormat="1" applyFont="1" applyFill="1" applyBorder="1" applyAlignment="1">
      <alignment horizontal="right" wrapText="1"/>
    </xf>
    <xf numFmtId="37" fontId="6" fillId="0" borderId="0" xfId="0" applyNumberFormat="1" applyFont="1" applyFill="1" applyBorder="1" applyAlignment="1">
      <alignment horizontal="left"/>
    </xf>
    <xf numFmtId="37" fontId="5" fillId="0" borderId="0" xfId="0" applyNumberFormat="1" applyFont="1" applyAlignment="1">
      <alignment vertical="top"/>
    </xf>
    <xf numFmtId="37" fontId="4" fillId="0" borderId="0" xfId="0" applyNumberFormat="1" applyFont="1" applyAlignment="1">
      <alignment horizontal="right" vertical="top" wrapText="1"/>
    </xf>
    <xf numFmtId="37" fontId="4" fillId="0" borderId="0" xfId="0" applyNumberFormat="1" applyFont="1" applyAlignment="1">
      <alignment/>
    </xf>
    <xf numFmtId="0" fontId="5" fillId="0" borderId="0" xfId="0" applyFont="1" applyAlignment="1">
      <alignment/>
    </xf>
    <xf numFmtId="168" fontId="4" fillId="0" borderId="0" xfId="0" applyNumberFormat="1" applyFont="1" applyAlignment="1">
      <alignment/>
    </xf>
    <xf numFmtId="168" fontId="0" fillId="0" borderId="0" xfId="0" applyNumberFormat="1" applyAlignment="1">
      <alignment/>
    </xf>
    <xf numFmtId="49" fontId="4" fillId="0" borderId="0" xfId="0" applyNumberFormat="1" applyFont="1" applyAlignment="1">
      <alignment/>
    </xf>
    <xf numFmtId="49" fontId="0" fillId="0" borderId="0" xfId="0" applyNumberFormat="1" applyAlignment="1">
      <alignment/>
    </xf>
    <xf numFmtId="0" fontId="4" fillId="0" borderId="0" xfId="0" applyFont="1" applyFill="1" applyAlignment="1">
      <alignment horizontal="right" wrapText="1"/>
    </xf>
    <xf numFmtId="167" fontId="4" fillId="0" borderId="0" xfId="0" applyNumberFormat="1" applyFont="1" applyFill="1" applyBorder="1" applyAlignment="1">
      <alignment/>
    </xf>
    <xf numFmtId="39" fontId="5" fillId="0" borderId="0" xfId="0" applyNumberFormat="1" applyFont="1" applyBorder="1" applyAlignment="1">
      <alignment horizontal="right"/>
    </xf>
    <xf numFmtId="39" fontId="4" fillId="0" borderId="0"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37" fontId="4" fillId="34" borderId="0" xfId="0" applyNumberFormat="1" applyFont="1" applyFill="1" applyBorder="1" applyAlignment="1">
      <alignment horizontal="right" wrapText="1"/>
    </xf>
    <xf numFmtId="37" fontId="4" fillId="0" borderId="0" xfId="0" applyNumberFormat="1" applyFont="1" applyFill="1" applyBorder="1" applyAlignment="1">
      <alignment horizontal="left" wrapText="1"/>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12" fillId="35" borderId="10" xfId="0" applyFont="1" applyFill="1" applyBorder="1" applyAlignment="1">
      <alignment horizontal="right" wrapText="1"/>
    </xf>
    <xf numFmtId="37" fontId="9" fillId="35" borderId="10" xfId="0" applyNumberFormat="1" applyFont="1" applyFill="1" applyBorder="1" applyAlignment="1">
      <alignment horizontal="right" wrapText="1"/>
    </xf>
    <xf numFmtId="37" fontId="5" fillId="34" borderId="0" xfId="0" applyNumberFormat="1" applyFont="1" applyFill="1" applyBorder="1" applyAlignment="1">
      <alignment horizontal="right" wrapText="1"/>
    </xf>
    <xf numFmtId="0" fontId="4" fillId="0" borderId="0" xfId="0" applyFont="1" applyFill="1" applyBorder="1" applyAlignment="1">
      <alignment horizontal="right" wrapText="1"/>
    </xf>
    <xf numFmtId="37" fontId="4" fillId="0" borderId="0" xfId="0" applyNumberFormat="1" applyFont="1" applyFill="1" applyBorder="1" applyAlignment="1">
      <alignment wrapText="1"/>
    </xf>
    <xf numFmtId="39" fontId="4" fillId="0" borderId="0" xfId="0" applyNumberFormat="1" applyFont="1" applyFill="1" applyBorder="1" applyAlignment="1">
      <alignment horizontal="right" wrapText="1"/>
    </xf>
    <xf numFmtId="37" fontId="18" fillId="0" borderId="0" xfId="0" applyNumberFormat="1" applyFont="1" applyAlignment="1">
      <alignment horizontal="right" wrapText="1"/>
    </xf>
    <xf numFmtId="167" fontId="4" fillId="0" borderId="0" xfId="0"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5" fillId="0" borderId="0" xfId="42" applyNumberFormat="1" applyFont="1" applyFill="1" applyBorder="1" applyAlignment="1">
      <alignment horizontal="right" wrapText="1"/>
    </xf>
    <xf numFmtId="164" fontId="5" fillId="0" borderId="0" xfId="0" applyNumberFormat="1" applyFont="1" applyFill="1" applyBorder="1" applyAlignment="1">
      <alignment horizontal="right" wrapText="1"/>
    </xf>
    <xf numFmtId="166" fontId="4" fillId="0" borderId="0" xfId="42" applyNumberFormat="1" applyFont="1" applyAlignment="1">
      <alignment horizontal="right" wrapText="1"/>
    </xf>
    <xf numFmtId="3" fontId="4" fillId="0" borderId="0" xfId="0" applyNumberFormat="1" applyFont="1" applyAlignment="1">
      <alignment horizontal="right" wrapText="1"/>
    </xf>
    <xf numFmtId="0" fontId="0" fillId="0" borderId="0" xfId="0" applyAlignment="1">
      <alignment horizontal="right" wrapText="1"/>
    </xf>
    <xf numFmtId="0" fontId="0" fillId="34" borderId="0" xfId="0" applyFill="1" applyAlignment="1">
      <alignment horizontal="right" wrapText="1"/>
    </xf>
    <xf numFmtId="37" fontId="4" fillId="0" borderId="0" xfId="42"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17" fillId="34" borderId="0" xfId="0" applyNumberFormat="1" applyFont="1" applyFill="1" applyBorder="1" applyAlignment="1">
      <alignment horizontal="right" wrapText="1"/>
    </xf>
    <xf numFmtId="37" fontId="16" fillId="34" borderId="0" xfId="0" applyNumberFormat="1" applyFont="1" applyFill="1" applyBorder="1" applyAlignment="1">
      <alignment horizontal="right" wrapText="1"/>
    </xf>
    <xf numFmtId="37" fontId="16" fillId="34" borderId="0" xfId="0" applyNumberFormat="1" applyFont="1" applyFill="1" applyBorder="1" applyAlignment="1">
      <alignment horizontal="right" wrapText="1"/>
    </xf>
    <xf numFmtId="37" fontId="17" fillId="34" borderId="0" xfId="0" applyNumberFormat="1" applyFont="1" applyFill="1" applyBorder="1" applyAlignment="1">
      <alignment horizontal="right" wrapText="1"/>
    </xf>
    <xf numFmtId="0" fontId="4" fillId="0" borderId="12" xfId="0" applyFont="1" applyBorder="1" applyAlignment="1">
      <alignment horizontal="right" wrapText="1"/>
    </xf>
    <xf numFmtId="0" fontId="5" fillId="0" borderId="0" xfId="0" applyFont="1" applyAlignment="1">
      <alignment horizontal="right" wrapText="1"/>
    </xf>
    <xf numFmtId="0" fontId="16" fillId="0" borderId="0" xfId="0" applyFont="1" applyAlignment="1">
      <alignment horizontal="right" wrapText="1"/>
    </xf>
    <xf numFmtId="16" fontId="6" fillId="0" borderId="0" xfId="0" applyNumberFormat="1" applyFont="1" applyAlignment="1">
      <alignment horizontal="right" wrapText="1"/>
    </xf>
    <xf numFmtId="0" fontId="5" fillId="0" borderId="13" xfId="0" applyFont="1" applyBorder="1" applyAlignment="1">
      <alignment horizontal="right" wrapText="1"/>
    </xf>
    <xf numFmtId="3" fontId="4" fillId="0" borderId="12" xfId="0" applyNumberFormat="1" applyFont="1" applyBorder="1" applyAlignment="1">
      <alignment horizontal="right" wrapText="1"/>
    </xf>
    <xf numFmtId="0" fontId="16" fillId="0" borderId="12" xfId="0" applyFont="1" applyBorder="1" applyAlignment="1">
      <alignment horizontal="right" wrapText="1"/>
    </xf>
    <xf numFmtId="0" fontId="17" fillId="0" borderId="0" xfId="0" applyFont="1" applyAlignment="1">
      <alignment horizontal="right" wrapText="1"/>
    </xf>
    <xf numFmtId="166" fontId="4" fillId="34" borderId="0" xfId="42" applyNumberFormat="1" applyFont="1" applyFill="1" applyBorder="1" applyAlignment="1">
      <alignment horizontal="right" wrapText="1"/>
    </xf>
    <xf numFmtId="0" fontId="0" fillId="0" borderId="0" xfId="0" applyFill="1" applyAlignment="1">
      <alignment horizontal="right" wrapText="1"/>
    </xf>
    <xf numFmtId="166" fontId="4" fillId="0" borderId="0" xfId="42" applyNumberFormat="1" applyFont="1" applyFill="1" applyAlignment="1">
      <alignment horizontal="right" wrapText="1"/>
    </xf>
    <xf numFmtId="166" fontId="18" fillId="0" borderId="0" xfId="42" applyNumberFormat="1" applyFont="1" applyFill="1" applyAlignment="1">
      <alignment horizontal="right" wrapText="1"/>
    </xf>
    <xf numFmtId="164" fontId="4" fillId="0" borderId="0" xfId="0" applyNumberFormat="1" applyFont="1" applyFill="1" applyBorder="1" applyAlignment="1">
      <alignment/>
    </xf>
    <xf numFmtId="0" fontId="16" fillId="0" borderId="0" xfId="0" applyFont="1" applyBorder="1" applyAlignment="1">
      <alignment/>
    </xf>
    <xf numFmtId="166" fontId="16" fillId="0" borderId="0" xfId="42" applyNumberFormat="1" applyFont="1" applyFill="1" applyBorder="1" applyAlignment="1">
      <alignment horizontal="right" wrapText="1"/>
    </xf>
    <xf numFmtId="37"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37" fontId="5" fillId="0" borderId="0" xfId="0" applyNumberFormat="1" applyFont="1" applyFill="1" applyBorder="1" applyAlignment="1">
      <alignment horizontal="right" wrapText="1"/>
    </xf>
    <xf numFmtId="0" fontId="12" fillId="35" borderId="10" xfId="0" applyFont="1" applyFill="1" applyBorder="1" applyAlignment="1">
      <alignment horizontal="right"/>
    </xf>
    <xf numFmtId="0" fontId="4" fillId="0" borderId="0" xfId="0" applyFont="1" applyFill="1" applyBorder="1" applyAlignment="1">
      <alignment horizontal="right"/>
    </xf>
    <xf numFmtId="37" fontId="16" fillId="0" borderId="0" xfId="0" applyNumberFormat="1" applyFont="1" applyFill="1" applyBorder="1" applyAlignment="1">
      <alignment horizontal="right" wrapText="1"/>
    </xf>
    <xf numFmtId="0" fontId="4" fillId="0" borderId="0" xfId="0" applyFont="1" applyAlignment="1">
      <alignment wrapText="1"/>
    </xf>
    <xf numFmtId="37" fontId="9" fillId="36" borderId="10" xfId="0" applyNumberFormat="1" applyFont="1" applyFill="1" applyBorder="1" applyAlignment="1">
      <alignment horizontal="right" wrapText="1"/>
    </xf>
    <xf numFmtId="37" fontId="8" fillId="36" borderId="11"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6" fillId="0" borderId="0" xfId="0" applyNumberFormat="1" applyFont="1" applyFill="1" applyBorder="1" applyAlignment="1">
      <alignment horizontal="right" wrapText="1"/>
    </xf>
    <xf numFmtId="0" fontId="5" fillId="0" borderId="14" xfId="0" applyFont="1" applyBorder="1" applyAlignment="1">
      <alignment vertical="top" wrapText="1"/>
    </xf>
    <xf numFmtId="0" fontId="5" fillId="0" borderId="13" xfId="0" applyFont="1" applyBorder="1" applyAlignment="1">
      <alignment vertical="top"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wrapText="1"/>
    </xf>
    <xf numFmtId="0" fontId="4" fillId="0" borderId="0" xfId="0" applyFont="1" applyAlignment="1">
      <alignment horizontal="left" wrapText="1" indent="3"/>
    </xf>
    <xf numFmtId="0" fontId="4" fillId="0" borderId="0" xfId="0" applyFont="1" applyAlignment="1">
      <alignment horizontal="justify" wrapText="1"/>
    </xf>
    <xf numFmtId="0" fontId="6" fillId="0" borderId="0" xfId="0" applyFont="1" applyAlignment="1">
      <alignment vertical="top" wrapText="1"/>
    </xf>
    <xf numFmtId="0" fontId="6" fillId="0" borderId="13" xfId="0" applyFont="1" applyBorder="1" applyAlignment="1">
      <alignment vertical="top" wrapText="1"/>
    </xf>
    <xf numFmtId="0" fontId="21" fillId="0" borderId="0" xfId="0" applyFont="1" applyAlignment="1">
      <alignment wrapText="1"/>
    </xf>
    <xf numFmtId="0" fontId="21" fillId="0" borderId="0" xfId="0" applyFont="1" applyAlignment="1">
      <alignment horizontal="left" wrapText="1" indent="1"/>
    </xf>
    <xf numFmtId="0" fontId="4" fillId="0" borderId="13" xfId="0" applyFont="1" applyBorder="1" applyAlignment="1">
      <alignment wrapText="1"/>
    </xf>
    <xf numFmtId="0" fontId="4" fillId="0" borderId="13" xfId="0" applyFont="1" applyBorder="1" applyAlignment="1">
      <alignment horizontal="right" wrapText="1"/>
    </xf>
    <xf numFmtId="0" fontId="22" fillId="0" borderId="14" xfId="0" applyFont="1" applyBorder="1" applyAlignment="1">
      <alignment horizontal="center" wrapText="1"/>
    </xf>
    <xf numFmtId="0" fontId="6" fillId="0" borderId="14" xfId="0" applyFont="1" applyBorder="1" applyAlignment="1">
      <alignment horizontal="center" wrapText="1"/>
    </xf>
    <xf numFmtId="0" fontId="6" fillId="0" borderId="14" xfId="0" applyFont="1" applyBorder="1" applyAlignment="1">
      <alignment horizontal="center" vertical="top" wrapText="1"/>
    </xf>
    <xf numFmtId="0" fontId="22" fillId="0" borderId="0" xfId="0" applyFont="1" applyAlignment="1">
      <alignment wrapText="1"/>
    </xf>
    <xf numFmtId="0" fontId="6" fillId="0" borderId="0" xfId="0" applyFont="1" applyAlignment="1">
      <alignment horizontal="center" wrapText="1"/>
    </xf>
    <xf numFmtId="168" fontId="4" fillId="0" borderId="0" xfId="0" applyNumberFormat="1" applyFont="1" applyAlignment="1">
      <alignment/>
    </xf>
    <xf numFmtId="0" fontId="6" fillId="0" borderId="13" xfId="0" applyFont="1" applyBorder="1" applyAlignment="1">
      <alignment wrapText="1"/>
    </xf>
    <xf numFmtId="0" fontId="6" fillId="0" borderId="13" xfId="0" applyFont="1" applyBorder="1" applyAlignment="1">
      <alignment horizontal="center" wrapText="1"/>
    </xf>
    <xf numFmtId="49" fontId="4" fillId="0" borderId="0" xfId="0" applyNumberFormat="1" applyFont="1" applyAlignment="1">
      <alignment/>
    </xf>
    <xf numFmtId="0" fontId="22" fillId="0" borderId="0" xfId="0" applyFont="1" applyAlignment="1">
      <alignment horizontal="center" wrapText="1"/>
    </xf>
    <xf numFmtId="0" fontId="22" fillId="0" borderId="0" xfId="0" applyFont="1" applyAlignment="1">
      <alignment horizontal="right" wrapText="1"/>
    </xf>
    <xf numFmtId="0" fontId="22" fillId="0" borderId="0" xfId="0" applyFont="1" applyAlignment="1">
      <alignment vertical="top" wrapText="1"/>
    </xf>
    <xf numFmtId="0" fontId="23" fillId="0" borderId="0" xfId="0" applyFont="1" applyAlignment="1">
      <alignment horizontal="center" wrapText="1"/>
    </xf>
    <xf numFmtId="0" fontId="5" fillId="0" borderId="0" xfId="0" applyFont="1" applyAlignment="1">
      <alignment vertical="top" wrapText="1"/>
    </xf>
    <xf numFmtId="0" fontId="6" fillId="0" borderId="0" xfId="0" applyFont="1" applyAlignment="1">
      <alignment wrapText="1"/>
    </xf>
    <xf numFmtId="0" fontId="22" fillId="0" borderId="0" xfId="0" applyFont="1" applyAlignment="1">
      <alignment horizontal="justify" wrapText="1"/>
    </xf>
    <xf numFmtId="0" fontId="5" fillId="0" borderId="0" xfId="0" applyFont="1" applyAlignment="1">
      <alignment horizontal="center" wrapText="1"/>
    </xf>
    <xf numFmtId="0" fontId="22" fillId="0" borderId="0" xfId="0" applyFont="1" applyAlignment="1">
      <alignment horizontal="left" wrapText="1" indent="2"/>
    </xf>
    <xf numFmtId="0" fontId="22" fillId="0" borderId="13" xfId="0" applyFont="1" applyBorder="1" applyAlignment="1">
      <alignment horizontal="left" wrapText="1" indent="2"/>
    </xf>
    <xf numFmtId="0" fontId="22" fillId="0" borderId="13" xfId="0" applyFont="1" applyBorder="1" applyAlignment="1">
      <alignment horizontal="center" wrapText="1"/>
    </xf>
    <xf numFmtId="3" fontId="4" fillId="0" borderId="0" xfId="0" applyNumberFormat="1" applyFont="1" applyBorder="1" applyAlignment="1">
      <alignment horizontal="right" wrapText="1"/>
    </xf>
    <xf numFmtId="0" fontId="22" fillId="0" borderId="0" xfId="0" applyFont="1" applyAlignment="1">
      <alignment horizontal="right" vertical="top" wrapText="1" indent="1"/>
    </xf>
    <xf numFmtId="0" fontId="6" fillId="0" borderId="0" xfId="0" applyFont="1" applyAlignment="1">
      <alignment horizontal="left" vertical="top" wrapText="1" indent="1"/>
    </xf>
    <xf numFmtId="0" fontId="22" fillId="0" borderId="0" xfId="0" applyFont="1" applyAlignment="1">
      <alignment horizontal="left" vertical="top" wrapText="1" indent="1"/>
    </xf>
    <xf numFmtId="0" fontId="24" fillId="0" borderId="0" xfId="0" applyFont="1" applyAlignment="1">
      <alignment horizontal="left" vertical="top" wrapText="1" indent="1"/>
    </xf>
    <xf numFmtId="0" fontId="4" fillId="0" borderId="0" xfId="0" applyFont="1" applyAlignment="1">
      <alignment horizontal="right" vertical="top" wrapText="1" indent="1"/>
    </xf>
    <xf numFmtId="0" fontId="5" fillId="0" borderId="0" xfId="0" applyFont="1" applyAlignment="1">
      <alignment horizontal="left" vertical="top" wrapText="1" indent="1"/>
    </xf>
    <xf numFmtId="0" fontId="4" fillId="0" borderId="0" xfId="0" applyFont="1" applyAlignment="1">
      <alignment horizontal="left" vertical="top" wrapText="1" indent="1"/>
    </xf>
    <xf numFmtId="0" fontId="6" fillId="0" borderId="13" xfId="0" applyFont="1" applyBorder="1" applyAlignment="1">
      <alignment horizontal="left" vertical="top" wrapText="1" indent="1"/>
    </xf>
    <xf numFmtId="0" fontId="4" fillId="0" borderId="0" xfId="0" applyFont="1" applyAlignment="1">
      <alignment horizontal="right"/>
    </xf>
    <xf numFmtId="0" fontId="16" fillId="0" borderId="13" xfId="0" applyFont="1" applyBorder="1" applyAlignment="1">
      <alignment horizontal="right" wrapText="1"/>
    </xf>
    <xf numFmtId="166" fontId="4" fillId="0" borderId="0" xfId="42" applyNumberFormat="1" applyFont="1" applyAlignment="1">
      <alignment horizontal="right"/>
    </xf>
    <xf numFmtId="37" fontId="4" fillId="0" borderId="0" xfId="0" applyNumberFormat="1" applyFont="1" applyAlignment="1">
      <alignment horizontal="right"/>
    </xf>
    <xf numFmtId="37" fontId="12" fillId="35" borderId="10" xfId="0" applyNumberFormat="1" applyFont="1" applyFill="1" applyBorder="1" applyAlignment="1">
      <alignment horizontal="left"/>
    </xf>
    <xf numFmtId="37" fontId="4" fillId="0" borderId="0" xfId="0" applyNumberFormat="1" applyFont="1" applyAlignment="1">
      <alignment horizontal="center" vertical="top" wrapText="1"/>
    </xf>
    <xf numFmtId="37" fontId="4" fillId="0" borderId="12" xfId="0" applyNumberFormat="1" applyFont="1" applyBorder="1" applyAlignment="1">
      <alignment horizontal="right" wrapText="1"/>
    </xf>
    <xf numFmtId="37" fontId="4" fillId="0" borderId="0" xfId="42" applyNumberFormat="1" applyFont="1" applyAlignment="1">
      <alignment horizontal="right"/>
    </xf>
    <xf numFmtId="37" fontId="4" fillId="0" borderId="13" xfId="0" applyNumberFormat="1" applyFont="1" applyBorder="1" applyAlignment="1">
      <alignment horizontal="right" wrapText="1"/>
    </xf>
    <xf numFmtId="37" fontId="0" fillId="0" borderId="0" xfId="0" applyNumberFormat="1" applyAlignment="1">
      <alignment horizontal="right"/>
    </xf>
    <xf numFmtId="37" fontId="0" fillId="0" borderId="0" xfId="0" applyNumberFormat="1" applyAlignment="1">
      <alignment/>
    </xf>
    <xf numFmtId="37" fontId="5" fillId="0" borderId="0" xfId="0" applyNumberFormat="1" applyFont="1" applyAlignment="1">
      <alignment horizontal="center" vertical="top" wrapText="1"/>
    </xf>
    <xf numFmtId="37" fontId="17" fillId="0" borderId="0" xfId="0" applyNumberFormat="1" applyFont="1" applyAlignment="1">
      <alignment horizontal="right" wrapText="1"/>
    </xf>
    <xf numFmtId="37" fontId="5" fillId="0" borderId="0" xfId="0" applyNumberFormat="1" applyFont="1" applyAlignment="1">
      <alignment horizontal="right" wrapText="1"/>
    </xf>
    <xf numFmtId="37" fontId="5" fillId="0" borderId="13" xfId="0" applyNumberFormat="1" applyFont="1" applyBorder="1" applyAlignment="1">
      <alignment horizontal="right" wrapText="1"/>
    </xf>
    <xf numFmtId="37" fontId="8" fillId="35" borderId="10" xfId="42" applyNumberFormat="1" applyFont="1" applyFill="1" applyBorder="1" applyAlignment="1">
      <alignment horizontal="right"/>
    </xf>
    <xf numFmtId="37" fontId="8" fillId="35" borderId="11" xfId="42" applyNumberFormat="1" applyFont="1" applyFill="1" applyBorder="1" applyAlignment="1">
      <alignment horizontal="right"/>
    </xf>
    <xf numFmtId="37" fontId="4" fillId="0" borderId="0" xfId="42" applyNumberFormat="1" applyFont="1" applyAlignment="1">
      <alignment horizontal="right"/>
    </xf>
    <xf numFmtId="37" fontId="6" fillId="0" borderId="0" xfId="0" applyNumberFormat="1" applyFont="1" applyAlignment="1">
      <alignment vertical="top" wrapText="1"/>
    </xf>
    <xf numFmtId="37" fontId="17" fillId="0" borderId="13" xfId="0" applyNumberFormat="1" applyFont="1" applyBorder="1" applyAlignment="1">
      <alignment vertical="top" wrapText="1"/>
    </xf>
    <xf numFmtId="37" fontId="16" fillId="0" borderId="0" xfId="42" applyNumberFormat="1" applyFont="1" applyAlignment="1">
      <alignment horizontal="right"/>
    </xf>
    <xf numFmtId="37" fontId="4" fillId="0" borderId="0" xfId="0" applyNumberFormat="1" applyFont="1" applyAlignment="1">
      <alignment horizontal="right"/>
    </xf>
    <xf numFmtId="0" fontId="16" fillId="0" borderId="0" xfId="0" applyFont="1" applyAlignment="1">
      <alignment horizontal="right"/>
    </xf>
    <xf numFmtId="0" fontId="0" fillId="0" borderId="0" xfId="0" applyFont="1" applyAlignment="1">
      <alignment horizontal="right"/>
    </xf>
    <xf numFmtId="0" fontId="0" fillId="0" borderId="0" xfId="0" applyFont="1" applyAlignment="1">
      <alignment/>
    </xf>
    <xf numFmtId="166" fontId="4" fillId="0" borderId="13" xfId="42" applyNumberFormat="1" applyFont="1" applyBorder="1" applyAlignment="1">
      <alignment horizontal="right" wrapText="1"/>
    </xf>
    <xf numFmtId="166" fontId="4" fillId="0" borderId="0" xfId="42" applyNumberFormat="1" applyFont="1" applyAlignment="1">
      <alignment horizontal="right"/>
    </xf>
    <xf numFmtId="166" fontId="0" fillId="0" borderId="0" xfId="42" applyNumberFormat="1" applyFont="1" applyAlignment="1">
      <alignment horizontal="right"/>
    </xf>
    <xf numFmtId="166" fontId="12" fillId="35" borderId="10" xfId="42" applyNumberFormat="1" applyFont="1" applyFill="1" applyBorder="1" applyAlignment="1">
      <alignment horizontal="left"/>
    </xf>
    <xf numFmtId="166" fontId="8" fillId="35" borderId="11" xfId="42" applyNumberFormat="1" applyFont="1" applyFill="1" applyBorder="1" applyAlignment="1">
      <alignment horizontal="center"/>
    </xf>
    <xf numFmtId="166" fontId="4" fillId="0" borderId="0" xfId="42" applyNumberFormat="1" applyFont="1" applyAlignment="1">
      <alignment/>
    </xf>
    <xf numFmtId="166" fontId="6" fillId="0" borderId="14" xfId="42" applyNumberFormat="1" applyFont="1" applyBorder="1" applyAlignment="1">
      <alignment horizontal="right" vertical="top" wrapText="1"/>
    </xf>
    <xf numFmtId="166" fontId="6" fillId="0" borderId="13" xfId="42" applyNumberFormat="1" applyFont="1" applyBorder="1" applyAlignment="1">
      <alignment horizontal="right" vertical="top" wrapText="1"/>
    </xf>
    <xf numFmtId="166" fontId="4" fillId="0" borderId="0" xfId="42" applyNumberFormat="1" applyFont="1" applyAlignment="1">
      <alignment horizontal="right" wrapText="1"/>
    </xf>
    <xf numFmtId="166" fontId="4" fillId="0" borderId="13" xfId="42" applyNumberFormat="1" applyFont="1" applyBorder="1" applyAlignment="1">
      <alignment horizontal="right" wrapText="1"/>
    </xf>
    <xf numFmtId="166" fontId="0" fillId="0" borderId="0" xfId="42" applyNumberFormat="1" applyFont="1" applyAlignment="1">
      <alignment horizontal="right"/>
    </xf>
    <xf numFmtId="166" fontId="0" fillId="0" borderId="0" xfId="42" applyNumberFormat="1" applyFont="1" applyAlignment="1">
      <alignment/>
    </xf>
    <xf numFmtId="166" fontId="5" fillId="0" borderId="0" xfId="42" applyNumberFormat="1" applyFont="1" applyAlignment="1">
      <alignment horizontal="center" vertical="top" wrapText="1"/>
    </xf>
    <xf numFmtId="37" fontId="4" fillId="35" borderId="10" xfId="0" applyNumberFormat="1" applyFont="1" applyFill="1" applyBorder="1" applyAlignment="1">
      <alignment horizontal="right"/>
    </xf>
    <xf numFmtId="37" fontId="5" fillId="35" borderId="11" xfId="0" applyNumberFormat="1" applyFont="1" applyFill="1" applyBorder="1" applyAlignment="1">
      <alignment horizontal="center" wrapText="1"/>
    </xf>
    <xf numFmtId="37" fontId="5" fillId="35" borderId="11" xfId="0" applyNumberFormat="1" applyFont="1" applyFill="1" applyBorder="1" applyAlignment="1">
      <alignment horizontal="center"/>
    </xf>
    <xf numFmtId="37" fontId="5" fillId="0" borderId="0" xfId="0" applyNumberFormat="1" applyFont="1" applyAlignment="1">
      <alignment vertical="top" wrapText="1"/>
    </xf>
    <xf numFmtId="166" fontId="4" fillId="0" borderId="0" xfId="42" applyNumberFormat="1" applyFont="1" applyFill="1" applyAlignment="1">
      <alignment horizontal="right" wrapText="1"/>
    </xf>
    <xf numFmtId="37" fontId="4" fillId="0" borderId="0" xfId="42" applyNumberFormat="1" applyFont="1" applyAlignment="1">
      <alignment horizontal="right" wrapText="1"/>
    </xf>
    <xf numFmtId="0" fontId="4" fillId="0" borderId="0" xfId="42" applyNumberFormat="1" applyFont="1" applyFill="1" applyBorder="1" applyAlignment="1">
      <alignment horizontal="right" wrapText="1"/>
    </xf>
    <xf numFmtId="0" fontId="4" fillId="0" borderId="0" xfId="0" applyNumberFormat="1" applyFont="1" applyFill="1" applyBorder="1" applyAlignment="1">
      <alignment horizontal="right" wrapText="1"/>
    </xf>
    <xf numFmtId="37" fontId="4" fillId="0" borderId="0" xfId="0" applyNumberFormat="1" applyFont="1" applyBorder="1" applyAlignment="1">
      <alignment horizontal="right" wrapText="1"/>
    </xf>
    <xf numFmtId="37" fontId="22" fillId="0" borderId="0" xfId="0" applyNumberFormat="1" applyFont="1" applyFill="1" applyBorder="1" applyAlignment="1">
      <alignment horizontal="right" wrapText="1"/>
    </xf>
    <xf numFmtId="0" fontId="22" fillId="0" borderId="0" xfId="42" applyNumberFormat="1" applyFont="1" applyFill="1" applyBorder="1" applyAlignment="1">
      <alignment horizontal="right" wrapText="1"/>
    </xf>
    <xf numFmtId="37" fontId="6" fillId="0" borderId="0" xfId="0" applyNumberFormat="1" applyFont="1" applyFill="1" applyBorder="1" applyAlignment="1">
      <alignment horizontal="right" wrapText="1"/>
    </xf>
    <xf numFmtId="169" fontId="4" fillId="0" borderId="0" xfId="42" applyNumberFormat="1" applyFont="1" applyFill="1" applyBorder="1" applyAlignment="1">
      <alignment horizontal="right" wrapText="1"/>
    </xf>
    <xf numFmtId="164" fontId="22" fillId="0" borderId="0" xfId="0" applyNumberFormat="1" applyFont="1" applyFill="1" applyBorder="1" applyAlignment="1">
      <alignment horizontal="right" wrapText="1"/>
    </xf>
    <xf numFmtId="37" fontId="4" fillId="35" borderId="10" xfId="0" applyNumberFormat="1" applyFont="1" applyFill="1" applyBorder="1" applyAlignment="1">
      <alignment horizontal="right" wrapText="1"/>
    </xf>
    <xf numFmtId="39" fontId="4" fillId="0" borderId="0" xfId="42" applyNumberFormat="1" applyFont="1" applyFill="1" applyBorder="1" applyAlignment="1">
      <alignment horizontal="right" wrapText="1"/>
    </xf>
    <xf numFmtId="39" fontId="4" fillId="0" borderId="0" xfId="42" applyNumberFormat="1" applyFont="1" applyBorder="1" applyAlignment="1">
      <alignment horizontal="right" wrapText="1"/>
    </xf>
    <xf numFmtId="39" fontId="4" fillId="0" borderId="0" xfId="42" applyNumberFormat="1" applyFont="1" applyFill="1" applyBorder="1" applyAlignment="1">
      <alignment horizontal="left" wrapText="1"/>
    </xf>
    <xf numFmtId="164" fontId="4" fillId="0" borderId="0" xfId="42" applyNumberFormat="1" applyFont="1" applyFill="1" applyBorder="1" applyAlignment="1">
      <alignment horizontal="right" wrapText="1"/>
    </xf>
    <xf numFmtId="164" fontId="4" fillId="0" borderId="0" xfId="42" applyNumberFormat="1" applyFont="1" applyBorder="1" applyAlignment="1">
      <alignment horizontal="right" wrapText="1"/>
    </xf>
    <xf numFmtId="164" fontId="4" fillId="0" borderId="0" xfId="42" applyNumberFormat="1" applyFont="1" applyFill="1" applyBorder="1" applyAlignment="1">
      <alignment horizontal="left" wrapText="1"/>
    </xf>
    <xf numFmtId="37" fontId="19" fillId="34" borderId="0" xfId="0" applyNumberFormat="1" applyFont="1" applyFill="1" applyAlignment="1">
      <alignment horizontal="right" wrapText="1"/>
    </xf>
    <xf numFmtId="37" fontId="0" fillId="34" borderId="0" xfId="0" applyNumberFormat="1" applyFill="1" applyAlignment="1">
      <alignment horizontal="right" wrapText="1"/>
    </xf>
    <xf numFmtId="37" fontId="0" fillId="0" borderId="0" xfId="0" applyNumberFormat="1" applyFill="1" applyAlignment="1">
      <alignment horizontal="right" wrapText="1"/>
    </xf>
    <xf numFmtId="0" fontId="5" fillId="0" borderId="14" xfId="0" applyFont="1" applyBorder="1" applyAlignment="1">
      <alignment horizontal="right" vertical="top" wrapText="1"/>
    </xf>
    <xf numFmtId="0" fontId="5" fillId="0" borderId="13" xfId="0" applyFont="1" applyBorder="1" applyAlignment="1">
      <alignment horizontal="right" vertical="top" wrapText="1"/>
    </xf>
    <xf numFmtId="0" fontId="4" fillId="0" borderId="0" xfId="0" applyFont="1" applyAlignment="1">
      <alignment horizontal="right" vertical="top" wrapText="1"/>
    </xf>
    <xf numFmtId="166" fontId="4" fillId="0" borderId="0" xfId="42" applyNumberFormat="1" applyFont="1" applyAlignment="1">
      <alignment horizontal="right" vertical="top" wrapText="1"/>
    </xf>
    <xf numFmtId="166" fontId="4" fillId="35" borderId="10" xfId="42" applyNumberFormat="1" applyFont="1" applyFill="1" applyBorder="1" applyAlignment="1">
      <alignment horizontal="right"/>
    </xf>
    <xf numFmtId="166" fontId="5" fillId="35" borderId="11" xfId="42" applyNumberFormat="1" applyFont="1" applyFill="1" applyBorder="1" applyAlignment="1">
      <alignment horizontal="center"/>
    </xf>
    <xf numFmtId="166" fontId="4" fillId="0" borderId="0" xfId="42" applyNumberFormat="1" applyFont="1" applyAlignment="1">
      <alignment/>
    </xf>
    <xf numFmtId="166" fontId="5" fillId="0" borderId="14" xfId="42" applyNumberFormat="1" applyFont="1" applyBorder="1" applyAlignment="1">
      <alignment horizontal="right" vertical="top" wrapText="1"/>
    </xf>
    <xf numFmtId="166" fontId="5" fillId="0" borderId="13" xfId="42" applyNumberFormat="1" applyFont="1" applyBorder="1" applyAlignment="1">
      <alignment horizontal="right" vertical="top" wrapText="1"/>
    </xf>
    <xf numFmtId="37" fontId="8" fillId="35" borderId="0" xfId="0" applyNumberFormat="1" applyFont="1" applyFill="1" applyBorder="1" applyAlignment="1">
      <alignment horizontal="right" wrapText="1"/>
    </xf>
    <xf numFmtId="37" fontId="8" fillId="35" borderId="0" xfId="0" applyNumberFormat="1" applyFont="1" applyFill="1" applyBorder="1" applyAlignment="1">
      <alignment horizontal="center"/>
    </xf>
    <xf numFmtId="166" fontId="8" fillId="35" borderId="11" xfId="42" applyNumberFormat="1" applyFont="1" applyFill="1" applyBorder="1" applyAlignment="1">
      <alignment horizontal="right"/>
    </xf>
    <xf numFmtId="37" fontId="13" fillId="35" borderId="0" xfId="52" applyNumberFormat="1" applyFont="1" applyFill="1" applyBorder="1" applyAlignment="1" applyProtection="1">
      <alignment horizontal="left"/>
      <protection/>
    </xf>
    <xf numFmtId="37" fontId="16" fillId="0" borderId="0" xfId="0" applyNumberFormat="1" applyFont="1" applyFill="1" applyBorder="1" applyAlignment="1">
      <alignment horizontal="right"/>
    </xf>
    <xf numFmtId="3" fontId="5" fillId="0" borderId="0" xfId="0" applyNumberFormat="1" applyFont="1" applyFill="1" applyBorder="1" applyAlignment="1">
      <alignment/>
    </xf>
    <xf numFmtId="3" fontId="4" fillId="0" borderId="0" xfId="0" applyNumberFormat="1" applyFont="1" applyFill="1" applyBorder="1" applyAlignment="1">
      <alignment horizontal="right" wrapText="1"/>
    </xf>
    <xf numFmtId="3" fontId="4" fillId="0" borderId="0" xfId="0" applyNumberFormat="1" applyFont="1" applyFill="1" applyAlignment="1">
      <alignment horizontal="right" wrapText="1"/>
    </xf>
    <xf numFmtId="39"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164" fontId="22" fillId="0" borderId="0" xfId="0" applyNumberFormat="1" applyFont="1" applyFill="1" applyAlignment="1">
      <alignment horizontal="right" wrapText="1"/>
    </xf>
    <xf numFmtId="37" fontId="4" fillId="0" borderId="0" xfId="0" applyNumberFormat="1" applyFont="1" applyFill="1" applyAlignment="1">
      <alignment horizontal="right" wrapText="1"/>
    </xf>
    <xf numFmtId="39" fontId="17" fillId="0" borderId="0" xfId="0" applyNumberFormat="1" applyFont="1" applyFill="1" applyBorder="1" applyAlignment="1">
      <alignment horizontal="right"/>
    </xf>
    <xf numFmtId="2" fontId="5" fillId="0" borderId="0" xfId="0" applyNumberFormat="1" applyFont="1" applyFill="1" applyBorder="1" applyAlignment="1">
      <alignment/>
    </xf>
    <xf numFmtId="2" fontId="4" fillId="0" borderId="0" xfId="0" applyNumberFormat="1" applyFont="1" applyFill="1" applyBorder="1" applyAlignment="1">
      <alignment horizontal="right" wrapText="1"/>
    </xf>
    <xf numFmtId="37" fontId="22" fillId="34" borderId="0" xfId="0" applyNumberFormat="1" applyFont="1" applyFill="1" applyBorder="1" applyAlignment="1">
      <alignment horizontal="right" wrapText="1"/>
    </xf>
    <xf numFmtId="37" fontId="4" fillId="34" borderId="0" xfId="0" applyNumberFormat="1" applyFont="1" applyFill="1" applyBorder="1" applyAlignment="1">
      <alignment horizontal="right"/>
    </xf>
    <xf numFmtId="39" fontId="4" fillId="0" borderId="0" xfId="0" applyNumberFormat="1" applyFont="1" applyFill="1" applyBorder="1" applyAlignment="1">
      <alignment horizontal="right"/>
    </xf>
    <xf numFmtId="39" fontId="4" fillId="0" borderId="0" xfId="0" applyNumberFormat="1" applyFont="1" applyFill="1" applyBorder="1" applyAlignment="1">
      <alignment wrapText="1"/>
    </xf>
    <xf numFmtId="167" fontId="4" fillId="0" borderId="0" xfId="0" applyNumberFormat="1" applyFont="1" applyFill="1" applyBorder="1" applyAlignment="1">
      <alignment wrapText="1"/>
    </xf>
    <xf numFmtId="166" fontId="16" fillId="0" borderId="0" xfId="42" applyNumberFormat="1" applyFont="1" applyAlignment="1">
      <alignment horizontal="right" wrapText="1"/>
    </xf>
    <xf numFmtId="37" fontId="4" fillId="0" borderId="0" xfId="0" applyNumberFormat="1" applyFont="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3" fontId="4" fillId="0" borderId="0" xfId="0" applyNumberFormat="1" applyFont="1" applyAlignment="1">
      <alignment horizontal="right" wrapText="1"/>
    </xf>
    <xf numFmtId="3" fontId="4" fillId="0" borderId="12" xfId="0" applyNumberFormat="1" applyFont="1" applyBorder="1" applyAlignment="1">
      <alignment horizontal="right" wrapText="1"/>
    </xf>
    <xf numFmtId="37" fontId="4" fillId="0" borderId="12" xfId="0" applyNumberFormat="1" applyFont="1" applyBorder="1" applyAlignment="1">
      <alignment horizontal="right" wrapText="1"/>
    </xf>
    <xf numFmtId="37" fontId="6" fillId="0" borderId="0" xfId="0" applyNumberFormat="1" applyFont="1" applyFill="1" applyBorder="1" applyAlignment="1">
      <alignment horizontal="right" wrapText="1"/>
    </xf>
    <xf numFmtId="37" fontId="6" fillId="0" borderId="0" xfId="0" applyNumberFormat="1" applyFont="1" applyFill="1" applyBorder="1" applyAlignment="1">
      <alignment horizontal="right"/>
    </xf>
    <xf numFmtId="37" fontId="22" fillId="0" borderId="0" xfId="0" applyNumberFormat="1" applyFont="1" applyFill="1" applyBorder="1" applyAlignment="1">
      <alignment horizontal="right"/>
    </xf>
    <xf numFmtId="0" fontId="4" fillId="0" borderId="0" xfId="0" applyFont="1" applyAlignment="1">
      <alignment horizontal="center" wrapText="1"/>
    </xf>
    <xf numFmtId="37" fontId="4" fillId="35" borderId="10" xfId="42" applyNumberFormat="1" applyFont="1" applyFill="1" applyBorder="1" applyAlignment="1">
      <alignment horizontal="right"/>
    </xf>
    <xf numFmtId="39" fontId="4" fillId="0" borderId="0" xfId="0" applyNumberFormat="1" applyFont="1" applyFill="1" applyBorder="1" applyAlignment="1">
      <alignment horizontal="left"/>
    </xf>
    <xf numFmtId="37" fontId="5" fillId="0" borderId="0" xfId="0" applyNumberFormat="1" applyFont="1" applyFill="1" applyBorder="1" applyAlignment="1">
      <alignment horizontal="right"/>
    </xf>
    <xf numFmtId="43" fontId="4" fillId="0" borderId="0" xfId="42" applyFont="1" applyFill="1" applyAlignment="1">
      <alignment horizontal="right" wrapText="1"/>
    </xf>
    <xf numFmtId="43" fontId="4" fillId="0" borderId="0" xfId="42" applyFont="1" applyAlignment="1">
      <alignment horizontal="right" wrapText="1"/>
    </xf>
    <xf numFmtId="0" fontId="4" fillId="0" borderId="13" xfId="0" applyFont="1" applyBorder="1" applyAlignment="1">
      <alignment horizontal="center" wrapText="1"/>
    </xf>
    <xf numFmtId="0" fontId="4" fillId="0" borderId="13" xfId="0" applyFont="1" applyBorder="1" applyAlignment="1">
      <alignment horizontal="right" wrapText="1"/>
    </xf>
    <xf numFmtId="3" fontId="16" fillId="0" borderId="0" xfId="0" applyNumberFormat="1" applyFont="1" applyAlignment="1">
      <alignment horizontal="right" wrapText="1"/>
    </xf>
    <xf numFmtId="166" fontId="4" fillId="0" borderId="12" xfId="0" applyNumberFormat="1" applyFont="1" applyBorder="1" applyAlignment="1">
      <alignment horizontal="right" wrapText="1"/>
    </xf>
    <xf numFmtId="166" fontId="4" fillId="0" borderId="12" xfId="42" applyNumberFormat="1" applyFont="1" applyFill="1" applyBorder="1" applyAlignment="1">
      <alignment horizontal="right" wrapText="1"/>
    </xf>
    <xf numFmtId="3" fontId="4" fillId="0" borderId="12" xfId="0" applyNumberFormat="1" applyFont="1" applyFill="1" applyBorder="1" applyAlignment="1">
      <alignment horizontal="right" wrapText="1"/>
    </xf>
    <xf numFmtId="166" fontId="4" fillId="0" borderId="12" xfId="42" applyNumberFormat="1" applyFont="1" applyBorder="1" applyAlignment="1">
      <alignment horizontal="right" wrapText="1"/>
    </xf>
    <xf numFmtId="37" fontId="4" fillId="0" borderId="15" xfId="0" applyNumberFormat="1" applyFont="1" applyBorder="1" applyAlignment="1">
      <alignment horizontal="right" wrapText="1"/>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6" fontId="5" fillId="0" borderId="0" xfId="42" applyNumberFormat="1" applyFont="1" applyFill="1" applyBorder="1" applyAlignment="1">
      <alignment horizontal="right" wrapText="1"/>
    </xf>
    <xf numFmtId="37" fontId="5" fillId="0" borderId="0" xfId="42" applyNumberFormat="1" applyFont="1" applyFill="1" applyBorder="1" applyAlignment="1">
      <alignment horizontal="right" wrapText="1"/>
    </xf>
    <xf numFmtId="37" fontId="5" fillId="0" borderId="0" xfId="0" applyNumberFormat="1" applyFont="1" applyFill="1" applyBorder="1" applyAlignment="1">
      <alignment wrapText="1"/>
    </xf>
    <xf numFmtId="0" fontId="4" fillId="0" borderId="0" xfId="0" applyFont="1" applyAlignment="1">
      <alignment horizontal="left" vertical="top" wrapText="1" indent="1"/>
    </xf>
    <xf numFmtId="0" fontId="25" fillId="0" borderId="0" xfId="0" applyFont="1" applyAlignment="1">
      <alignment horizontal="right" wrapText="1"/>
    </xf>
    <xf numFmtId="167" fontId="4" fillId="34" borderId="0" xfId="0" applyNumberFormat="1" applyFont="1" applyFill="1" applyBorder="1" applyAlignment="1">
      <alignment wrapText="1"/>
    </xf>
    <xf numFmtId="3" fontId="4" fillId="0" borderId="12" xfId="0" applyNumberFormat="1" applyFont="1" applyBorder="1" applyAlignment="1">
      <alignment horizontal="right"/>
    </xf>
    <xf numFmtId="0" fontId="16" fillId="0" borderId="0" xfId="0" applyFont="1" applyAlignment="1">
      <alignment horizontal="center" vertical="top" wrapText="1"/>
    </xf>
    <xf numFmtId="0" fontId="16" fillId="0" borderId="0" xfId="0" applyFont="1" applyAlignment="1">
      <alignment horizontal="center" wrapText="1"/>
    </xf>
    <xf numFmtId="0" fontId="16" fillId="0" borderId="0" xfId="0" applyFont="1" applyAlignment="1">
      <alignment horizontal="righ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4" fillId="0" borderId="13" xfId="0" applyNumberFormat="1" applyFont="1" applyBorder="1" applyAlignment="1">
      <alignment horizontal="right"/>
    </xf>
    <xf numFmtId="3" fontId="4" fillId="0" borderId="13" xfId="0" applyNumberFormat="1" applyFont="1" applyBorder="1" applyAlignment="1">
      <alignment horizontal="right"/>
    </xf>
    <xf numFmtId="3" fontId="4" fillId="0" borderId="12" xfId="0" applyNumberFormat="1" applyFont="1" applyBorder="1" applyAlignment="1">
      <alignment horizontal="right"/>
    </xf>
    <xf numFmtId="3" fontId="16" fillId="0" borderId="0" xfId="0" applyNumberFormat="1" applyFont="1" applyBorder="1" applyAlignment="1">
      <alignment horizontal="right" wrapText="1"/>
    </xf>
    <xf numFmtId="37" fontId="4" fillId="35" borderId="10" xfId="0" applyNumberFormat="1" applyFont="1" applyFill="1" applyBorder="1" applyAlignment="1">
      <alignment horizontal="right"/>
    </xf>
    <xf numFmtId="39" fontId="4" fillId="0" borderId="0" xfId="42" applyNumberFormat="1" applyFont="1" applyFill="1" applyBorder="1" applyAlignment="1">
      <alignment horizontal="right" wrapText="1"/>
    </xf>
    <xf numFmtId="0" fontId="5" fillId="0" borderId="13" xfId="0" applyNumberFormat="1" applyFont="1" applyBorder="1" applyAlignment="1">
      <alignment horizontal="center" vertical="top" wrapText="1"/>
    </xf>
    <xf numFmtId="37" fontId="4" fillId="0" borderId="0" xfId="0" applyNumberFormat="1" applyFont="1" applyBorder="1" applyAlignment="1">
      <alignment horizontal="right" wrapText="1"/>
    </xf>
    <xf numFmtId="37" fontId="26" fillId="34" borderId="0" xfId="0" applyNumberFormat="1" applyFont="1" applyFill="1" applyBorder="1" applyAlignment="1">
      <alignment horizontal="right" wrapText="1"/>
    </xf>
    <xf numFmtId="37" fontId="27" fillId="34" borderId="0" xfId="0" applyNumberFormat="1" applyFont="1" applyFill="1" applyBorder="1" applyAlignment="1">
      <alignment horizontal="right" wrapText="1"/>
    </xf>
    <xf numFmtId="37" fontId="27" fillId="0" borderId="0" xfId="0" applyNumberFormat="1" applyFont="1" applyFill="1" applyBorder="1" applyAlignment="1">
      <alignment horizontal="right" wrapText="1"/>
    </xf>
    <xf numFmtId="37" fontId="26" fillId="0" borderId="0" xfId="0" applyNumberFormat="1" applyFont="1" applyFill="1" applyBorder="1" applyAlignment="1">
      <alignment horizontal="right" wrapText="1"/>
    </xf>
    <xf numFmtId="37" fontId="28" fillId="34" borderId="0" xfId="0" applyNumberFormat="1" applyFont="1" applyFill="1" applyAlignment="1">
      <alignment horizontal="right" wrapText="1"/>
    </xf>
    <xf numFmtId="37" fontId="27" fillId="0" borderId="0" xfId="0" applyNumberFormat="1" applyFont="1" applyAlignment="1">
      <alignment horizontal="right" vertical="top" wrapText="1"/>
    </xf>
    <xf numFmtId="37" fontId="26" fillId="0" borderId="0" xfId="42" applyNumberFormat="1" applyFont="1" applyAlignment="1">
      <alignment horizontal="right"/>
    </xf>
    <xf numFmtId="37" fontId="26" fillId="0" borderId="0" xfId="0" applyNumberFormat="1" applyFont="1" applyAlignment="1">
      <alignment horizontal="right"/>
    </xf>
    <xf numFmtId="37" fontId="28" fillId="0" borderId="0" xfId="0" applyNumberFormat="1" applyFont="1" applyAlignment="1">
      <alignment horizontal="right"/>
    </xf>
    <xf numFmtId="0" fontId="27" fillId="0" borderId="0" xfId="0" applyFont="1" applyAlignment="1">
      <alignment horizontal="center" vertical="top" wrapText="1"/>
    </xf>
    <xf numFmtId="0" fontId="26" fillId="0" borderId="0" xfId="0" applyFont="1" applyAlignment="1">
      <alignment horizontal="right" vertical="top" wrapText="1"/>
    </xf>
    <xf numFmtId="0" fontId="26" fillId="0" borderId="13" xfId="0" applyFont="1" applyBorder="1" applyAlignment="1">
      <alignment horizontal="right" wrapText="1"/>
    </xf>
    <xf numFmtId="0" fontId="26" fillId="0" borderId="0" xfId="0" applyFont="1" applyAlignment="1">
      <alignment horizontal="right"/>
    </xf>
    <xf numFmtId="0" fontId="28" fillId="0" borderId="0" xfId="0" applyFont="1" applyAlignment="1">
      <alignment horizontal="right"/>
    </xf>
    <xf numFmtId="0" fontId="26" fillId="0" borderId="0" xfId="0" applyFont="1" applyAlignment="1">
      <alignment/>
    </xf>
    <xf numFmtId="166" fontId="4" fillId="34" borderId="0" xfId="42" applyNumberFormat="1" applyFont="1" applyFill="1" applyAlignment="1">
      <alignment horizontal="right" wrapText="1"/>
    </xf>
    <xf numFmtId="3" fontId="4" fillId="0" borderId="0" xfId="0" applyNumberFormat="1" applyFont="1" applyFill="1" applyAlignment="1">
      <alignment horizontal="right" wrapText="1"/>
    </xf>
    <xf numFmtId="0" fontId="4" fillId="0" borderId="0" xfId="0" applyFont="1" applyFill="1" applyAlignment="1">
      <alignment horizontal="right" wrapText="1"/>
    </xf>
    <xf numFmtId="37" fontId="29" fillId="0" borderId="0" xfId="0" applyNumberFormat="1" applyFont="1" applyFill="1" applyBorder="1" applyAlignment="1">
      <alignment horizontal="right" wrapText="1"/>
    </xf>
    <xf numFmtId="0" fontId="6" fillId="0" borderId="0" xfId="0" applyFont="1" applyAlignment="1">
      <alignment horizontal="left" vertical="top" wrapText="1" indent="1"/>
    </xf>
    <xf numFmtId="0" fontId="4" fillId="34" borderId="0" xfId="0" applyFont="1" applyFill="1" applyAlignment="1">
      <alignment horizontal="right" wrapText="1"/>
    </xf>
    <xf numFmtId="166" fontId="21" fillId="0" borderId="0" xfId="42" applyNumberFormat="1" applyFont="1" applyFill="1" applyAlignment="1">
      <alignment horizontal="right" wrapText="1"/>
    </xf>
    <xf numFmtId="0" fontId="0" fillId="0" borderId="0" xfId="0" applyFont="1" applyFill="1" applyAlignment="1">
      <alignment horizontal="right" wrapText="1"/>
    </xf>
    <xf numFmtId="166" fontId="18" fillId="0" borderId="0" xfId="42" applyNumberFormat="1" applyFont="1" applyFill="1" applyAlignment="1">
      <alignment horizontal="right" wrapText="1"/>
    </xf>
    <xf numFmtId="0" fontId="9" fillId="0" borderId="0" xfId="0" applyFont="1" applyAlignment="1">
      <alignment/>
    </xf>
    <xf numFmtId="164" fontId="4" fillId="0" borderId="0" xfId="0" applyNumberFormat="1" applyFont="1" applyFill="1" applyBorder="1" applyAlignment="1">
      <alignment horizontal="right" wrapText="1"/>
    </xf>
    <xf numFmtId="164" fontId="23" fillId="0" borderId="0" xfId="0" applyNumberFormat="1" applyFont="1" applyFill="1" applyBorder="1" applyAlignment="1">
      <alignment horizontal="right" wrapText="1"/>
    </xf>
    <xf numFmtId="37" fontId="23" fillId="0" borderId="0" xfId="0" applyNumberFormat="1" applyFont="1" applyFill="1" applyBorder="1" applyAlignment="1">
      <alignment horizontal="right" wrapText="1"/>
    </xf>
    <xf numFmtId="164" fontId="4" fillId="0" borderId="0" xfId="42" applyNumberFormat="1" applyFont="1" applyFill="1" applyBorder="1" applyAlignment="1">
      <alignment horizontal="right" wrapText="1"/>
    </xf>
    <xf numFmtId="166" fontId="30" fillId="34" borderId="0" xfId="42" applyNumberFormat="1" applyFont="1" applyFill="1" applyAlignment="1">
      <alignment horizontal="right" wrapText="1"/>
    </xf>
    <xf numFmtId="37" fontId="4" fillId="37" borderId="0" xfId="0" applyNumberFormat="1" applyFont="1" applyFill="1" applyBorder="1" applyAlignment="1">
      <alignment horizontal="right" wrapText="1"/>
    </xf>
    <xf numFmtId="37" fontId="4" fillId="37" borderId="0" xfId="0" applyNumberFormat="1" applyFont="1" applyFill="1" applyAlignment="1">
      <alignment horizontal="right" wrapText="1"/>
    </xf>
    <xf numFmtId="3" fontId="4" fillId="37" borderId="0" xfId="0" applyNumberFormat="1" applyFont="1" applyFill="1" applyAlignment="1">
      <alignment horizontal="right" wrapText="1"/>
    </xf>
    <xf numFmtId="166" fontId="5" fillId="0" borderId="0" xfId="42" applyNumberFormat="1" applyFont="1" applyAlignment="1">
      <alignment horizontal="right" wrapText="1"/>
    </xf>
    <xf numFmtId="3" fontId="5" fillId="0" borderId="0" xfId="0" applyNumberFormat="1" applyFont="1" applyAlignment="1">
      <alignment horizontal="right" wrapText="1"/>
    </xf>
    <xf numFmtId="0" fontId="5" fillId="0" borderId="12" xfId="0" applyFont="1" applyBorder="1" applyAlignment="1">
      <alignment horizontal="right" wrapText="1"/>
    </xf>
    <xf numFmtId="3" fontId="5" fillId="34" borderId="0" xfId="0" applyNumberFormat="1" applyFont="1" applyFill="1" applyBorder="1" applyAlignment="1">
      <alignment horizontal="right"/>
    </xf>
    <xf numFmtId="3" fontId="4" fillId="34" borderId="0" xfId="0" applyNumberFormat="1" applyFont="1" applyFill="1" applyAlignment="1">
      <alignment horizontal="right" wrapText="1"/>
    </xf>
    <xf numFmtId="3" fontId="5" fillId="34" borderId="0" xfId="0" applyNumberFormat="1" applyFont="1" applyFill="1" applyBorder="1" applyAlignment="1">
      <alignment/>
    </xf>
    <xf numFmtId="3" fontId="4" fillId="0" borderId="0"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2" fontId="5" fillId="34" borderId="0" xfId="0" applyNumberFormat="1" applyFont="1" applyFill="1" applyBorder="1" applyAlignment="1">
      <alignment/>
    </xf>
    <xf numFmtId="2" fontId="4" fillId="34" borderId="0" xfId="0" applyNumberFormat="1" applyFont="1" applyFill="1" applyBorder="1" applyAlignment="1">
      <alignment horizontal="right" wrapText="1"/>
    </xf>
    <xf numFmtId="2" fontId="4" fillId="0" borderId="0" xfId="0" applyNumberFormat="1" applyFont="1" applyFill="1" applyBorder="1" applyAlignment="1">
      <alignment horizontal="right" wrapText="1"/>
    </xf>
    <xf numFmtId="3" fontId="5" fillId="34" borderId="0" xfId="0" applyNumberFormat="1" applyFont="1" applyFill="1" applyBorder="1" applyAlignment="1">
      <alignment horizontal="right" wrapText="1"/>
    </xf>
    <xf numFmtId="0" fontId="4" fillId="34" borderId="0" xfId="0" applyFont="1" applyFill="1" applyBorder="1" applyAlignment="1">
      <alignment horizontal="right" wrapText="1"/>
    </xf>
    <xf numFmtId="166" fontId="5" fillId="0" borderId="12" xfId="42" applyNumberFormat="1" applyFont="1" applyBorder="1" applyAlignment="1">
      <alignment horizontal="right" wrapText="1"/>
    </xf>
    <xf numFmtId="37" fontId="4" fillId="0" borderId="0" xfId="0" applyNumberFormat="1" applyFont="1" applyFill="1" applyAlignment="1">
      <alignment horizontal="right" wrapText="1"/>
    </xf>
    <xf numFmtId="164" fontId="5" fillId="34" borderId="0" xfId="0" applyNumberFormat="1" applyFont="1" applyFill="1" applyBorder="1" applyAlignment="1">
      <alignment horizontal="right" wrapText="1"/>
    </xf>
    <xf numFmtId="164" fontId="4" fillId="34" borderId="0" xfId="0" applyNumberFormat="1" applyFont="1" applyFill="1" applyBorder="1" applyAlignment="1">
      <alignment horizontal="right" wrapText="1"/>
    </xf>
    <xf numFmtId="0" fontId="4" fillId="34" borderId="0" xfId="42" applyNumberFormat="1" applyFont="1" applyFill="1" applyBorder="1" applyAlignment="1">
      <alignment horizontal="right" wrapText="1"/>
    </xf>
    <xf numFmtId="43" fontId="4" fillId="0" borderId="0" xfId="42" applyFont="1" applyFill="1" applyBorder="1" applyAlignment="1">
      <alignment horizontal="right" wrapText="1"/>
    </xf>
    <xf numFmtId="39" fontId="4" fillId="34" borderId="0" xfId="0" applyNumberFormat="1" applyFont="1" applyFill="1" applyAlignment="1">
      <alignment horizontal="right" wrapText="1"/>
    </xf>
    <xf numFmtId="39" fontId="4" fillId="34" borderId="0" xfId="0" applyNumberFormat="1" applyFont="1" applyFill="1" applyBorder="1" applyAlignment="1">
      <alignment horizontal="right" wrapText="1"/>
    </xf>
    <xf numFmtId="2" fontId="4" fillId="0" borderId="0" xfId="0" applyNumberFormat="1" applyFont="1" applyAlignment="1">
      <alignment horizontal="right" wrapText="1"/>
    </xf>
    <xf numFmtId="164" fontId="4" fillId="34" borderId="0" xfId="0" applyNumberFormat="1" applyFont="1" applyFill="1" applyAlignment="1">
      <alignment horizontal="right" wrapText="1"/>
    </xf>
    <xf numFmtId="3" fontId="5" fillId="0" borderId="12" xfId="0" applyNumberFormat="1" applyFont="1" applyBorder="1" applyAlignment="1">
      <alignment horizontal="right" wrapText="1"/>
    </xf>
    <xf numFmtId="3" fontId="5" fillId="0" borderId="12" xfId="0" applyNumberFormat="1" applyFont="1" applyFill="1" applyBorder="1" applyAlignment="1">
      <alignment horizontal="right" wrapText="1"/>
    </xf>
    <xf numFmtId="166" fontId="4" fillId="0" borderId="15" xfId="42" applyNumberFormat="1" applyFont="1" applyBorder="1" applyAlignment="1">
      <alignment horizontal="right" wrapText="1"/>
    </xf>
    <xf numFmtId="166" fontId="5" fillId="0" borderId="12" xfId="42" applyNumberFormat="1" applyFont="1" applyFill="1" applyBorder="1" applyAlignment="1">
      <alignment horizontal="right" wrapText="1"/>
    </xf>
    <xf numFmtId="166" fontId="5" fillId="0" borderId="12" xfId="0" applyNumberFormat="1" applyFont="1" applyBorder="1" applyAlignment="1">
      <alignment horizontal="right" wrapText="1"/>
    </xf>
    <xf numFmtId="37" fontId="4" fillId="0" borderId="0" xfId="42" applyNumberFormat="1" applyFont="1" applyFill="1" applyAlignment="1">
      <alignment horizontal="right" wrapText="1"/>
    </xf>
    <xf numFmtId="37" fontId="4" fillId="0" borderId="12" xfId="0" applyNumberFormat="1" applyFont="1" applyFill="1" applyBorder="1" applyAlignment="1">
      <alignment horizontal="right" wrapText="1"/>
    </xf>
    <xf numFmtId="37" fontId="4" fillId="0" borderId="0" xfId="42" applyNumberFormat="1" applyFont="1" applyAlignment="1">
      <alignment horizontal="right" wrapText="1"/>
    </xf>
    <xf numFmtId="37" fontId="4" fillId="0" borderId="15" xfId="0" applyNumberFormat="1" applyFont="1" applyFill="1" applyBorder="1" applyAlignment="1">
      <alignment horizontal="right" wrapText="1"/>
    </xf>
    <xf numFmtId="166" fontId="4" fillId="0" borderId="15" xfId="42" applyNumberFormat="1" applyFont="1" applyFill="1" applyBorder="1" applyAlignment="1">
      <alignment horizontal="right" wrapText="1"/>
    </xf>
    <xf numFmtId="170" fontId="5" fillId="0" borderId="0" xfId="0" applyNumberFormat="1" applyFont="1" applyAlignment="1">
      <alignment horizontal="right" wrapText="1"/>
    </xf>
    <xf numFmtId="0" fontId="5" fillId="0" borderId="14" xfId="42" applyNumberFormat="1" applyFont="1" applyBorder="1" applyAlignment="1">
      <alignment horizontal="center" vertical="top" wrapText="1"/>
    </xf>
    <xf numFmtId="37" fontId="4" fillId="0" borderId="12" xfId="42" applyNumberFormat="1" applyFont="1" applyFill="1" applyBorder="1" applyAlignment="1">
      <alignment horizontal="right" wrapText="1"/>
    </xf>
    <xf numFmtId="37" fontId="16" fillId="0" borderId="0" xfId="0" applyNumberFormat="1" applyFont="1" applyFill="1" applyAlignment="1">
      <alignment horizontal="right" wrapText="1"/>
    </xf>
    <xf numFmtId="37" fontId="22" fillId="0" borderId="0" xfId="0" applyNumberFormat="1" applyFont="1" applyFill="1" applyBorder="1" applyAlignment="1">
      <alignment horizontal="right" wrapText="1"/>
    </xf>
    <xf numFmtId="166" fontId="5" fillId="0" borderId="0" xfId="42" applyNumberFormat="1" applyFont="1" applyFill="1" applyAlignment="1">
      <alignment horizontal="right" wrapText="1"/>
    </xf>
    <xf numFmtId="166" fontId="5" fillId="0" borderId="16" xfId="42" applyNumberFormat="1" applyFont="1" applyFill="1" applyBorder="1" applyAlignment="1">
      <alignment horizontal="right" wrapText="1"/>
    </xf>
    <xf numFmtId="166" fontId="5" fillId="0" borderId="15" xfId="42" applyNumberFormat="1" applyFont="1" applyBorder="1" applyAlignment="1">
      <alignment horizontal="right" wrapText="1"/>
    </xf>
    <xf numFmtId="37" fontId="31" fillId="0" borderId="0" xfId="0" applyNumberFormat="1" applyFont="1" applyFill="1" applyBorder="1" applyAlignment="1">
      <alignment horizontal="right" wrapText="1"/>
    </xf>
    <xf numFmtId="166" fontId="18" fillId="0" borderId="0" xfId="42" applyNumberFormat="1" applyFont="1" applyFill="1" applyAlignment="1">
      <alignment horizontal="right" wrapText="1"/>
    </xf>
    <xf numFmtId="37" fontId="5" fillId="0" borderId="0" xfId="0" applyNumberFormat="1" applyFont="1" applyAlignment="1">
      <alignment/>
    </xf>
    <xf numFmtId="0" fontId="32" fillId="0" borderId="0" xfId="0" applyFont="1" applyFill="1" applyBorder="1" applyAlignment="1">
      <alignment horizontal="left"/>
    </xf>
    <xf numFmtId="37" fontId="32" fillId="0" borderId="0" xfId="0" applyNumberFormat="1" applyFont="1" applyFill="1" applyBorder="1" applyAlignment="1">
      <alignment horizontal="left"/>
    </xf>
    <xf numFmtId="39"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37" fontId="16" fillId="34" borderId="0" xfId="0" applyNumberFormat="1" applyFont="1" applyFill="1" applyAlignment="1">
      <alignment horizontal="right" wrapText="1"/>
    </xf>
    <xf numFmtId="39" fontId="16" fillId="0" borderId="0" xfId="0" applyNumberFormat="1" applyFont="1" applyFill="1" applyBorder="1" applyAlignment="1">
      <alignment horizontal="right" wrapText="1"/>
    </xf>
    <xf numFmtId="39" fontId="17" fillId="0" borderId="0" xfId="0" applyNumberFormat="1" applyFont="1" applyFill="1" applyBorder="1" applyAlignment="1">
      <alignment horizontal="right" wrapText="1"/>
    </xf>
    <xf numFmtId="37" fontId="16" fillId="0" borderId="0"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43" fontId="4" fillId="0" borderId="0" xfId="0" applyNumberFormat="1" applyFont="1" applyFill="1" applyBorder="1" applyAlignment="1">
      <alignment horizontal="right" wrapText="1"/>
    </xf>
    <xf numFmtId="164" fontId="16" fillId="0" borderId="0" xfId="0" applyNumberFormat="1" applyFont="1" applyFill="1" applyBorder="1" applyAlignment="1">
      <alignment horizontal="right" wrapText="1"/>
    </xf>
    <xf numFmtId="166" fontId="16" fillId="0" borderId="0" xfId="42" applyNumberFormat="1" applyFont="1" applyFill="1" applyBorder="1" applyAlignment="1">
      <alignment horizontal="right" wrapText="1"/>
    </xf>
    <xf numFmtId="165" fontId="17" fillId="0" borderId="0" xfId="42" applyNumberFormat="1" applyFont="1" applyFill="1" applyBorder="1" applyAlignment="1">
      <alignment horizontal="right" wrapText="1"/>
    </xf>
    <xf numFmtId="166" fontId="17" fillId="0" borderId="0" xfId="42" applyNumberFormat="1" applyFont="1" applyFill="1" applyBorder="1" applyAlignment="1">
      <alignment horizontal="right" wrapText="1"/>
    </xf>
    <xf numFmtId="37" fontId="19" fillId="0" borderId="0" xfId="0" applyNumberFormat="1" applyFont="1" applyFill="1" applyAlignment="1">
      <alignment horizontal="right" wrapText="1"/>
    </xf>
    <xf numFmtId="37" fontId="21" fillId="0" borderId="0" xfId="42" applyNumberFormat="1" applyFont="1" applyFill="1" applyAlignment="1">
      <alignment horizontal="right" wrapText="1"/>
    </xf>
    <xf numFmtId="37" fontId="0" fillId="0" borderId="0" xfId="0" applyNumberFormat="1" applyFont="1" applyFill="1" applyAlignment="1">
      <alignment horizontal="right" wrapText="1"/>
    </xf>
    <xf numFmtId="37" fontId="28" fillId="0" borderId="0" xfId="0" applyNumberFormat="1" applyFont="1" applyFill="1" applyAlignment="1">
      <alignment horizontal="right" wrapText="1"/>
    </xf>
    <xf numFmtId="37" fontId="26" fillId="0" borderId="13" xfId="0" applyNumberFormat="1" applyFont="1" applyBorder="1" applyAlignment="1">
      <alignment horizontal="right" wrapText="1"/>
    </xf>
    <xf numFmtId="37" fontId="0" fillId="0" borderId="0" xfId="0" applyNumberFormat="1" applyFont="1" applyAlignment="1">
      <alignment horizontal="right"/>
    </xf>
    <xf numFmtId="1" fontId="4" fillId="0" borderId="0" xfId="0" applyNumberFormat="1" applyFont="1" applyAlignment="1">
      <alignment horizontal="right" wrapText="1"/>
    </xf>
    <xf numFmtId="165" fontId="4" fillId="34" borderId="0" xfId="42" applyNumberFormat="1" applyFont="1" applyFill="1" applyAlignment="1">
      <alignment horizontal="right" wrapText="1"/>
    </xf>
    <xf numFmtId="37" fontId="73" fillId="0" borderId="0" xfId="42" applyNumberFormat="1" applyFont="1" applyFill="1" applyAlignment="1">
      <alignment horizontal="right" wrapText="1"/>
    </xf>
    <xf numFmtId="0" fontId="74" fillId="0" borderId="0" xfId="0" applyFont="1" applyAlignment="1">
      <alignment/>
    </xf>
    <xf numFmtId="166" fontId="73" fillId="0" borderId="0" xfId="42" applyNumberFormat="1" applyFont="1" applyFill="1" applyAlignment="1">
      <alignment horizontal="right" wrapText="1"/>
    </xf>
    <xf numFmtId="37" fontId="13" fillId="35" borderId="0" xfId="52" applyNumberFormat="1" applyFont="1" applyFill="1" applyBorder="1" applyAlignment="1" applyProtection="1">
      <alignment horizontal="left"/>
      <protection/>
    </xf>
    <xf numFmtId="37" fontId="4" fillId="0" borderId="0" xfId="0" applyNumberFormat="1" applyFont="1" applyFill="1" applyBorder="1" applyAlignment="1">
      <alignment wrapText="1"/>
    </xf>
    <xf numFmtId="43" fontId="4" fillId="0" borderId="0" xfId="42" applyFont="1" applyBorder="1" applyAlignment="1">
      <alignment horizontal="right" wrapText="1"/>
    </xf>
    <xf numFmtId="164" fontId="4" fillId="0" borderId="0" xfId="0" applyNumberFormat="1" applyFont="1" applyBorder="1" applyAlignment="1">
      <alignment horizontal="right" wrapText="1"/>
    </xf>
    <xf numFmtId="164" fontId="4" fillId="0" borderId="0" xfId="42" applyNumberFormat="1" applyFont="1" applyBorder="1" applyAlignment="1">
      <alignment horizontal="right" wrapText="1"/>
    </xf>
    <xf numFmtId="39" fontId="75" fillId="34" borderId="0" xfId="0" applyNumberFormat="1" applyFont="1" applyFill="1" applyBorder="1" applyAlignment="1">
      <alignment horizontal="right" wrapText="1"/>
    </xf>
    <xf numFmtId="39" fontId="76" fillId="34" borderId="0" xfId="0" applyNumberFormat="1" applyFont="1" applyFill="1" applyBorder="1" applyAlignment="1">
      <alignment horizontal="right" wrapText="1"/>
    </xf>
    <xf numFmtId="37" fontId="75" fillId="34" borderId="0" xfId="0" applyNumberFormat="1" applyFont="1" applyFill="1" applyBorder="1" applyAlignment="1">
      <alignment horizontal="right" wrapText="1"/>
    </xf>
    <xf numFmtId="37" fontId="76" fillId="34" borderId="0" xfId="0" applyNumberFormat="1" applyFont="1" applyFill="1" applyBorder="1" applyAlignment="1">
      <alignment horizontal="right" wrapText="1"/>
    </xf>
    <xf numFmtId="37" fontId="75" fillId="34" borderId="0" xfId="0" applyNumberFormat="1" applyFont="1" applyFill="1" applyBorder="1" applyAlignment="1">
      <alignment wrapText="1"/>
    </xf>
    <xf numFmtId="39" fontId="75" fillId="34" borderId="0" xfId="0" applyNumberFormat="1" applyFont="1" applyFill="1" applyBorder="1" applyAlignment="1">
      <alignment wrapText="1"/>
    </xf>
    <xf numFmtId="167" fontId="75" fillId="34" borderId="0" xfId="0" applyNumberFormat="1" applyFont="1" applyFill="1" applyBorder="1" applyAlignment="1">
      <alignment wrapText="1"/>
    </xf>
    <xf numFmtId="39" fontId="75" fillId="34" borderId="0" xfId="0" applyNumberFormat="1" applyFont="1" applyFill="1" applyAlignment="1">
      <alignment horizontal="right" wrapText="1"/>
    </xf>
    <xf numFmtId="37" fontId="76" fillId="34" borderId="0" xfId="0" applyNumberFormat="1" applyFont="1" applyFill="1" applyBorder="1" applyAlignment="1">
      <alignment horizontal="right"/>
    </xf>
    <xf numFmtId="37" fontId="75" fillId="34" borderId="0" xfId="0" applyNumberFormat="1" applyFont="1" applyFill="1" applyBorder="1" applyAlignment="1">
      <alignment horizontal="right"/>
    </xf>
    <xf numFmtId="39" fontId="76" fillId="34" borderId="0" xfId="0" applyNumberFormat="1" applyFont="1" applyFill="1" applyBorder="1" applyAlignment="1">
      <alignment horizontal="right"/>
    </xf>
    <xf numFmtId="37" fontId="75" fillId="0" borderId="0" xfId="0" applyNumberFormat="1" applyFont="1" applyFill="1" applyBorder="1" applyAlignment="1">
      <alignment horizontal="right" wrapText="1"/>
    </xf>
    <xf numFmtId="169" fontId="4" fillId="0" borderId="0" xfId="42" applyNumberFormat="1" applyFont="1" applyFill="1" applyBorder="1" applyAlignment="1">
      <alignment horizontal="right" wrapText="1"/>
    </xf>
    <xf numFmtId="37" fontId="4" fillId="35" borderId="10" xfId="0" applyNumberFormat="1" applyFont="1" applyFill="1" applyBorder="1" applyAlignment="1">
      <alignment horizontal="right" wrapText="1"/>
    </xf>
    <xf numFmtId="0" fontId="16" fillId="34" borderId="0" xfId="0" applyFont="1" applyFill="1" applyAlignment="1">
      <alignment horizontal="right" wrapText="1"/>
    </xf>
    <xf numFmtId="166" fontId="16" fillId="34" borderId="0" xfId="42" applyNumberFormat="1" applyFont="1" applyFill="1" applyAlignment="1">
      <alignment horizontal="right" wrapText="1"/>
    </xf>
    <xf numFmtId="0" fontId="16" fillId="0" borderId="0" xfId="0" applyFont="1" applyFill="1" applyAlignment="1">
      <alignment horizontal="right" wrapText="1"/>
    </xf>
    <xf numFmtId="1" fontId="4" fillId="0" borderId="0" xfId="42" applyNumberFormat="1" applyFont="1" applyFill="1" applyAlignment="1">
      <alignment horizontal="right" wrapText="1"/>
    </xf>
    <xf numFmtId="0" fontId="77" fillId="34" borderId="0" xfId="0" applyFont="1" applyFill="1" applyAlignment="1">
      <alignment horizontal="right" wrapText="1"/>
    </xf>
    <xf numFmtId="0" fontId="5" fillId="34" borderId="0" xfId="0" applyFont="1" applyFill="1" applyBorder="1" applyAlignment="1">
      <alignment/>
    </xf>
    <xf numFmtId="3" fontId="4" fillId="34" borderId="0" xfId="0" applyNumberFormat="1" applyFont="1" applyFill="1" applyBorder="1" applyAlignment="1">
      <alignment horizontal="right"/>
    </xf>
    <xf numFmtId="43" fontId="4" fillId="34" borderId="0" xfId="42" applyFont="1" applyFill="1" applyAlignment="1">
      <alignment horizontal="right" wrapText="1"/>
    </xf>
    <xf numFmtId="166" fontId="16" fillId="0" borderId="0" xfId="42" applyNumberFormat="1" applyFont="1" applyFill="1" applyBorder="1" applyAlignment="1">
      <alignment horizontal="right" wrapText="1"/>
    </xf>
    <xf numFmtId="165" fontId="4" fillId="0" borderId="0" xfId="42" applyNumberFormat="1" applyFont="1" applyFill="1" applyBorder="1" applyAlignment="1">
      <alignment horizontal="right" wrapText="1"/>
    </xf>
    <xf numFmtId="165" fontId="16" fillId="0" borderId="0" xfId="42" applyNumberFormat="1" applyFont="1" applyFill="1" applyBorder="1" applyAlignment="1">
      <alignment horizontal="right" wrapText="1"/>
    </xf>
    <xf numFmtId="43" fontId="4" fillId="0" borderId="0" xfId="42" applyFont="1" applyFill="1" applyBorder="1" applyAlignment="1">
      <alignment horizontal="right" wrapText="1"/>
    </xf>
    <xf numFmtId="166" fontId="75" fillId="34" borderId="0" xfId="42" applyNumberFormat="1" applyFont="1" applyFill="1" applyBorder="1" applyAlignment="1">
      <alignment horizontal="right" wrapText="1"/>
    </xf>
    <xf numFmtId="0" fontId="4" fillId="0" borderId="0" xfId="0" applyFont="1" applyAlignment="1">
      <alignment wrapText="1"/>
    </xf>
    <xf numFmtId="165" fontId="4" fillId="0" borderId="0" xfId="42" applyNumberFormat="1" applyFont="1" applyFill="1" applyAlignment="1">
      <alignment horizontal="right" wrapText="1"/>
    </xf>
    <xf numFmtId="164" fontId="78" fillId="0" borderId="0" xfId="0" applyNumberFormat="1" applyFont="1" applyFill="1" applyAlignment="1">
      <alignment horizontal="right" wrapText="1"/>
    </xf>
    <xf numFmtId="37" fontId="79" fillId="34" borderId="0" xfId="0" applyNumberFormat="1" applyFont="1" applyFill="1" applyBorder="1" applyAlignment="1">
      <alignment horizontal="right" wrapText="1"/>
    </xf>
    <xf numFmtId="166" fontId="79" fillId="34" borderId="0" xfId="42" applyNumberFormat="1" applyFont="1" applyFill="1" applyBorder="1" applyAlignment="1">
      <alignment horizontal="right" wrapText="1"/>
    </xf>
    <xf numFmtId="37" fontId="79" fillId="34" borderId="0" xfId="0" applyNumberFormat="1" applyFont="1" applyFill="1" applyAlignment="1">
      <alignment horizontal="right" wrapText="1"/>
    </xf>
    <xf numFmtId="39" fontId="78" fillId="0" borderId="0" xfId="0" applyNumberFormat="1" applyFont="1" applyFill="1" applyBorder="1" applyAlignment="1">
      <alignment horizontal="right" wrapText="1"/>
    </xf>
    <xf numFmtId="39" fontId="16" fillId="0" borderId="0" xfId="0" applyNumberFormat="1" applyFont="1" applyFill="1" applyBorder="1" applyAlignment="1">
      <alignment horizontal="right" wrapText="1"/>
    </xf>
    <xf numFmtId="39" fontId="17" fillId="0" borderId="0" xfId="0" applyNumberFormat="1" applyFont="1" applyFill="1" applyBorder="1" applyAlignment="1">
      <alignment horizontal="right" wrapText="1"/>
    </xf>
    <xf numFmtId="39" fontId="16" fillId="0" borderId="0" xfId="0" applyNumberFormat="1" applyFont="1" applyFill="1" applyBorder="1" applyAlignment="1">
      <alignment horizontal="right" wrapText="1"/>
    </xf>
    <xf numFmtId="37" fontId="78" fillId="0" borderId="0" xfId="0" applyNumberFormat="1" applyFont="1" applyFill="1" applyBorder="1" applyAlignment="1">
      <alignment horizontal="right" wrapText="1"/>
    </xf>
    <xf numFmtId="43" fontId="16" fillId="0" borderId="0" xfId="42" applyNumberFormat="1" applyFont="1" applyFill="1" applyBorder="1" applyAlignment="1">
      <alignment horizontal="right" wrapText="1"/>
    </xf>
    <xf numFmtId="37" fontId="80" fillId="34" borderId="0" xfId="0" applyNumberFormat="1" applyFont="1" applyFill="1" applyBorder="1" applyAlignment="1">
      <alignment horizontal="right" wrapText="1"/>
    </xf>
    <xf numFmtId="37" fontId="16" fillId="0" borderId="0" xfId="0" applyNumberFormat="1" applyFont="1" applyFill="1" applyBorder="1" applyAlignment="1">
      <alignment horizontal="right"/>
    </xf>
    <xf numFmtId="37" fontId="17" fillId="0" borderId="0" xfId="0" applyNumberFormat="1" applyFont="1" applyFill="1" applyBorder="1" applyAlignment="1">
      <alignment horizontal="right"/>
    </xf>
    <xf numFmtId="39" fontId="17" fillId="0" borderId="0" xfId="0" applyNumberFormat="1" applyFont="1" applyFill="1" applyBorder="1" applyAlignment="1">
      <alignment horizontal="right"/>
    </xf>
    <xf numFmtId="37" fontId="80" fillId="34" borderId="0" xfId="0" applyNumberFormat="1" applyFont="1" applyFill="1" applyBorder="1" applyAlignment="1">
      <alignment horizontal="right"/>
    </xf>
    <xf numFmtId="37" fontId="79" fillId="34" borderId="0" xfId="0" applyNumberFormat="1" applyFont="1" applyFill="1" applyBorder="1" applyAlignment="1">
      <alignment horizontal="right"/>
    </xf>
    <xf numFmtId="39" fontId="80" fillId="34" borderId="0" xfId="0" applyNumberFormat="1" applyFont="1" applyFill="1" applyBorder="1" applyAlignment="1">
      <alignment horizontal="right"/>
    </xf>
    <xf numFmtId="171" fontId="5" fillId="0" borderId="0" xfId="42" applyNumberFormat="1" applyFont="1" applyFill="1" applyBorder="1" applyAlignment="1">
      <alignment horizontal="right" wrapText="1"/>
    </xf>
    <xf numFmtId="165" fontId="17" fillId="0" borderId="0" xfId="42" applyNumberFormat="1" applyFont="1" applyFill="1" applyBorder="1" applyAlignment="1">
      <alignment horizontal="right" wrapText="1"/>
    </xf>
    <xf numFmtId="165" fontId="5" fillId="0" borderId="0" xfId="42" applyNumberFormat="1" applyFont="1" applyFill="1" applyBorder="1" applyAlignment="1">
      <alignment horizontal="right" wrapText="1"/>
    </xf>
    <xf numFmtId="166" fontId="17" fillId="0" borderId="0" xfId="42" applyNumberFormat="1" applyFont="1" applyFill="1" applyBorder="1" applyAlignment="1">
      <alignment horizontal="right" wrapText="1"/>
    </xf>
    <xf numFmtId="166" fontId="80" fillId="34" borderId="0" xfId="42" applyNumberFormat="1" applyFont="1" applyFill="1" applyBorder="1" applyAlignment="1">
      <alignment horizontal="right" wrapText="1"/>
    </xf>
    <xf numFmtId="37" fontId="33" fillId="0" borderId="0" xfId="42" applyNumberFormat="1" applyFont="1" applyFill="1" applyAlignment="1">
      <alignment horizontal="right" wrapText="1"/>
    </xf>
    <xf numFmtId="37" fontId="16" fillId="0" borderId="0" xfId="42" applyNumberFormat="1" applyFont="1" applyFill="1" applyAlignment="1">
      <alignment horizontal="right" wrapText="1"/>
    </xf>
    <xf numFmtId="166" fontId="81" fillId="34" borderId="0" xfId="42" applyNumberFormat="1" applyFont="1" applyFill="1" applyAlignment="1">
      <alignment horizontal="right" wrapText="1"/>
    </xf>
    <xf numFmtId="37" fontId="79" fillId="34" borderId="0" xfId="42" applyNumberFormat="1" applyFont="1" applyFill="1" applyAlignment="1">
      <alignment horizontal="right" wrapText="1"/>
    </xf>
    <xf numFmtId="37" fontId="81" fillId="34" borderId="0" xfId="42" applyNumberFormat="1" applyFont="1" applyFill="1" applyAlignment="1">
      <alignment horizontal="right" wrapText="1"/>
    </xf>
    <xf numFmtId="37" fontId="82" fillId="34" borderId="0" xfId="0" applyNumberFormat="1" applyFont="1" applyFill="1" applyAlignment="1">
      <alignment horizontal="right" wrapText="1"/>
    </xf>
    <xf numFmtId="3" fontId="80" fillId="0" borderId="0" xfId="0" applyNumberFormat="1" applyFont="1" applyAlignment="1">
      <alignment horizontal="right" wrapText="1"/>
    </xf>
    <xf numFmtId="0" fontId="80" fillId="0" borderId="0" xfId="0" applyFont="1" applyAlignment="1">
      <alignment horizontal="right" wrapText="1"/>
    </xf>
    <xf numFmtId="0" fontId="80" fillId="0" borderId="12" xfId="0" applyFont="1" applyBorder="1" applyAlignment="1">
      <alignment horizontal="right" wrapText="1"/>
    </xf>
    <xf numFmtId="37" fontId="80" fillId="0" borderId="13" xfId="0" applyNumberFormat="1" applyFont="1" applyBorder="1" applyAlignment="1">
      <alignment horizontal="right" wrapText="1"/>
    </xf>
    <xf numFmtId="37" fontId="79" fillId="0" borderId="0" xfId="42" applyNumberFormat="1" applyFont="1" applyAlignment="1">
      <alignment horizontal="right"/>
    </xf>
    <xf numFmtId="37" fontId="79" fillId="0" borderId="0" xfId="0" applyNumberFormat="1" applyFont="1" applyAlignment="1">
      <alignment horizontal="right"/>
    </xf>
    <xf numFmtId="37" fontId="80" fillId="0" borderId="0" xfId="0" applyNumberFormat="1" applyFont="1" applyAlignment="1">
      <alignment horizontal="right" wrapText="1"/>
    </xf>
    <xf numFmtId="0" fontId="79" fillId="0" borderId="0" xfId="0" applyFont="1" applyAlignment="1">
      <alignment horizontal="center" wrapText="1"/>
    </xf>
    <xf numFmtId="0" fontId="80" fillId="0" borderId="0" xfId="0" applyFont="1" applyAlignment="1">
      <alignment horizontal="center" vertical="top" wrapText="1"/>
    </xf>
    <xf numFmtId="0" fontId="79" fillId="0" borderId="0" xfId="0" applyFont="1" applyAlignment="1">
      <alignment horizontal="right" wrapText="1"/>
    </xf>
    <xf numFmtId="0" fontId="79" fillId="0" borderId="13" xfId="0" applyFont="1" applyBorder="1" applyAlignment="1">
      <alignment horizontal="center" wrapText="1"/>
    </xf>
    <xf numFmtId="0" fontId="79" fillId="0" borderId="0" xfId="0" applyFont="1" applyAlignment="1">
      <alignment/>
    </xf>
    <xf numFmtId="3" fontId="79" fillId="0" borderId="0" xfId="0" applyNumberFormat="1" applyFont="1" applyAlignment="1">
      <alignment horizontal="right" wrapText="1"/>
    </xf>
    <xf numFmtId="3" fontId="79" fillId="0" borderId="0" xfId="0" applyNumberFormat="1" applyFont="1" applyBorder="1" applyAlignment="1">
      <alignment horizontal="right" wrapText="1"/>
    </xf>
    <xf numFmtId="37" fontId="80" fillId="0" borderId="0" xfId="0" applyNumberFormat="1" applyFont="1" applyAlignment="1">
      <alignment vertical="top" wrapText="1"/>
    </xf>
    <xf numFmtId="0" fontId="83" fillId="0" borderId="0" xfId="0" applyFont="1" applyAlignment="1">
      <alignment horizontal="right" wrapText="1"/>
    </xf>
    <xf numFmtId="166" fontId="79" fillId="0" borderId="0" xfId="42" applyNumberFormat="1" applyFont="1" applyAlignment="1">
      <alignment horizontal="right" vertical="top" wrapText="1"/>
    </xf>
    <xf numFmtId="166" fontId="79" fillId="0" borderId="13" xfId="42" applyNumberFormat="1" applyFont="1" applyBorder="1" applyAlignment="1">
      <alignment horizontal="right" wrapText="1"/>
    </xf>
    <xf numFmtId="166" fontId="79" fillId="0" borderId="0" xfId="42" applyNumberFormat="1" applyFont="1" applyAlignment="1">
      <alignment horizontal="right"/>
    </xf>
    <xf numFmtId="0" fontId="79" fillId="0" borderId="0" xfId="0" applyFont="1" applyAlignment="1">
      <alignment horizontal="right" vertical="top" wrapText="1"/>
    </xf>
    <xf numFmtId="37" fontId="5" fillId="0" borderId="0" xfId="0" applyNumberFormat="1" applyFont="1" applyAlignment="1">
      <alignment horizontal="right" vertical="top" wrapText="1"/>
    </xf>
    <xf numFmtId="37" fontId="4" fillId="0" borderId="13" xfId="0" applyNumberFormat="1" applyFont="1" applyBorder="1" applyAlignment="1">
      <alignment horizontal="right" wrapText="1"/>
    </xf>
    <xf numFmtId="37" fontId="5" fillId="0" borderId="0" xfId="0" applyNumberFormat="1" applyFont="1" applyFill="1" applyAlignment="1">
      <alignment horizontal="right" wrapText="1"/>
    </xf>
    <xf numFmtId="169" fontId="5" fillId="0" borderId="0" xfId="0" applyNumberFormat="1" applyFont="1" applyFill="1" applyAlignment="1">
      <alignment horizontal="right" wrapText="1"/>
    </xf>
    <xf numFmtId="169" fontId="5" fillId="0" borderId="0" xfId="0" applyNumberFormat="1" applyFont="1" applyAlignment="1">
      <alignment horizontal="right" wrapText="1"/>
    </xf>
    <xf numFmtId="37" fontId="5" fillId="0" borderId="0" xfId="0" applyNumberFormat="1" applyFont="1" applyBorder="1" applyAlignment="1">
      <alignment horizontal="right" wrapText="1"/>
    </xf>
    <xf numFmtId="37" fontId="5" fillId="0" borderId="12" xfId="0" applyNumberFormat="1" applyFont="1" applyBorder="1" applyAlignment="1">
      <alignment horizontal="right" wrapText="1"/>
    </xf>
    <xf numFmtId="37" fontId="5" fillId="0" borderId="15" xfId="0" applyNumberFormat="1" applyFont="1" applyBorder="1" applyAlignment="1">
      <alignment horizontal="right" wrapText="1"/>
    </xf>
    <xf numFmtId="3" fontId="5" fillId="0" borderId="15" xfId="0" applyNumberFormat="1" applyFont="1" applyBorder="1" applyAlignment="1">
      <alignment horizontal="right" wrapText="1"/>
    </xf>
    <xf numFmtId="41" fontId="5" fillId="0" borderId="12" xfId="0" applyNumberFormat="1" applyFont="1" applyBorder="1" applyAlignment="1">
      <alignment horizontal="right" wrapText="1"/>
    </xf>
    <xf numFmtId="39" fontId="5" fillId="34" borderId="0" xfId="0" applyNumberFormat="1" applyFont="1" applyFill="1" applyBorder="1" applyAlignment="1">
      <alignment horizontal="right" wrapText="1"/>
    </xf>
    <xf numFmtId="43" fontId="4" fillId="34" borderId="0" xfId="42" applyNumberFormat="1" applyFont="1" applyFill="1" applyBorder="1" applyAlignment="1">
      <alignment horizontal="right" wrapText="1"/>
    </xf>
    <xf numFmtId="3" fontId="5" fillId="0" borderId="13" xfId="0" applyNumberFormat="1" applyFont="1" applyBorder="1" applyAlignment="1">
      <alignment horizontal="right"/>
    </xf>
    <xf numFmtId="3" fontId="5" fillId="0" borderId="12" xfId="0" applyNumberFormat="1" applyFont="1" applyBorder="1" applyAlignment="1">
      <alignment horizontal="right"/>
    </xf>
    <xf numFmtId="0" fontId="6" fillId="0" borderId="0" xfId="0" applyFont="1" applyAlignment="1">
      <alignment wrapText="1"/>
    </xf>
    <xf numFmtId="166" fontId="9" fillId="35" borderId="10" xfId="42" applyNumberFormat="1" applyFont="1" applyFill="1" applyBorder="1" applyAlignment="1">
      <alignment horizontal="right" wrapText="1"/>
    </xf>
    <xf numFmtId="166" fontId="8" fillId="35" borderId="0" xfId="42" applyNumberFormat="1" applyFont="1" applyFill="1" applyBorder="1" applyAlignment="1">
      <alignment horizontal="right" wrapText="1"/>
    </xf>
    <xf numFmtId="166" fontId="79" fillId="34" borderId="0" xfId="42" applyNumberFormat="1" applyFont="1" applyFill="1" applyAlignment="1">
      <alignment horizontal="right" wrapText="1"/>
    </xf>
    <xf numFmtId="37" fontId="79" fillId="34" borderId="0" xfId="0" applyNumberFormat="1" applyFont="1" applyFill="1" applyBorder="1" applyAlignment="1">
      <alignment wrapText="1"/>
    </xf>
    <xf numFmtId="39" fontId="79" fillId="34" borderId="0" xfId="0" applyNumberFormat="1" applyFont="1" applyFill="1" applyBorder="1" applyAlignment="1">
      <alignment wrapText="1"/>
    </xf>
    <xf numFmtId="37" fontId="84" fillId="34" borderId="0" xfId="0" applyNumberFormat="1" applyFont="1" applyFill="1" applyBorder="1" applyAlignment="1">
      <alignment horizontal="right" wrapText="1"/>
    </xf>
    <xf numFmtId="0" fontId="79" fillId="34" borderId="0" xfId="0" applyFont="1" applyFill="1" applyAlignment="1">
      <alignment horizontal="right" wrapText="1"/>
    </xf>
    <xf numFmtId="0" fontId="82" fillId="34" borderId="0" xfId="0" applyFont="1" applyFill="1" applyAlignment="1">
      <alignment horizontal="right" wrapText="1"/>
    </xf>
    <xf numFmtId="37" fontId="85" fillId="34" borderId="0" xfId="42" applyNumberFormat="1" applyFont="1" applyFill="1" applyAlignment="1">
      <alignment horizontal="right" wrapText="1"/>
    </xf>
    <xf numFmtId="166" fontId="85" fillId="34" borderId="0" xfId="42" applyNumberFormat="1" applyFont="1" applyFill="1" applyAlignment="1">
      <alignment horizontal="right" wrapText="1"/>
    </xf>
    <xf numFmtId="171" fontId="5" fillId="0" borderId="0" xfId="0" applyNumberFormat="1" applyFont="1" applyFill="1" applyBorder="1" applyAlignment="1">
      <alignment horizontal="right" wrapText="1"/>
    </xf>
    <xf numFmtId="171" fontId="17" fillId="0" borderId="0" xfId="42" applyNumberFormat="1" applyFont="1" applyFill="1" applyBorder="1" applyAlignment="1">
      <alignment horizontal="right" wrapText="1"/>
    </xf>
    <xf numFmtId="39" fontId="5" fillId="34" borderId="0" xfId="0" applyNumberFormat="1" applyFont="1" applyFill="1" applyBorder="1" applyAlignment="1">
      <alignment horizontal="right"/>
    </xf>
    <xf numFmtId="43" fontId="4" fillId="34" borderId="0" xfId="0" applyNumberFormat="1" applyFont="1" applyFill="1" applyBorder="1" applyAlignment="1">
      <alignment horizontal="right" wrapText="1"/>
    </xf>
    <xf numFmtId="37" fontId="4" fillId="34" borderId="0" xfId="42" applyNumberFormat="1" applyFont="1" applyFill="1" applyAlignment="1">
      <alignment horizontal="right" wrapText="1"/>
    </xf>
    <xf numFmtId="165" fontId="85" fillId="34" borderId="0" xfId="42" applyNumberFormat="1" applyFont="1" applyFill="1" applyAlignment="1">
      <alignment horizontal="right" wrapText="1"/>
    </xf>
    <xf numFmtId="2" fontId="5" fillId="0" borderId="0" xfId="0" applyNumberFormat="1" applyFont="1" applyAlignment="1">
      <alignment horizontal="right" wrapText="1"/>
    </xf>
    <xf numFmtId="16" fontId="6" fillId="0" borderId="0" xfId="0" applyNumberFormat="1" applyFont="1" applyAlignment="1">
      <alignment horizontal="right" wrapText="1"/>
    </xf>
    <xf numFmtId="170" fontId="4" fillId="0" borderId="0" xfId="0" applyNumberFormat="1" applyFont="1" applyAlignment="1">
      <alignment horizontal="right" wrapText="1"/>
    </xf>
    <xf numFmtId="164" fontId="78" fillId="34" borderId="0" xfId="0" applyNumberFormat="1" applyFont="1" applyFill="1" applyAlignment="1">
      <alignment horizontal="right" wrapText="1"/>
    </xf>
    <xf numFmtId="37" fontId="78" fillId="34" borderId="0" xfId="0" applyNumberFormat="1" applyFont="1" applyFill="1" applyAlignment="1">
      <alignment horizontal="right" wrapText="1"/>
    </xf>
    <xf numFmtId="37" fontId="86" fillId="34" borderId="0" xfId="0" applyNumberFormat="1" applyFont="1" applyFill="1" applyBorder="1" applyAlignment="1">
      <alignment horizontal="right" wrapText="1"/>
    </xf>
    <xf numFmtId="37" fontId="78" fillId="0" borderId="0" xfId="0" applyNumberFormat="1" applyFont="1" applyFill="1" applyBorder="1" applyAlignment="1">
      <alignment horizontal="right"/>
    </xf>
    <xf numFmtId="37" fontId="86" fillId="0" borderId="0" xfId="0" applyNumberFormat="1" applyFont="1" applyFill="1" applyBorder="1" applyAlignment="1">
      <alignment horizontal="right" wrapText="1"/>
    </xf>
    <xf numFmtId="37" fontId="78" fillId="34" borderId="0" xfId="0" applyNumberFormat="1" applyFont="1" applyFill="1" applyBorder="1" applyAlignment="1">
      <alignment horizontal="right" wrapText="1"/>
    </xf>
    <xf numFmtId="37" fontId="86" fillId="0" borderId="0" xfId="0" applyNumberFormat="1" applyFont="1" applyFill="1" applyBorder="1" applyAlignment="1">
      <alignment wrapText="1"/>
    </xf>
    <xf numFmtId="0" fontId="78" fillId="34" borderId="0" xfId="42" applyNumberFormat="1" applyFont="1" applyFill="1" applyBorder="1" applyAlignment="1">
      <alignment horizontal="right" wrapText="1"/>
    </xf>
    <xf numFmtId="164" fontId="86" fillId="34" borderId="0" xfId="0" applyNumberFormat="1" applyFont="1" applyFill="1" applyBorder="1" applyAlignment="1">
      <alignment horizontal="right" wrapText="1"/>
    </xf>
    <xf numFmtId="164" fontId="78" fillId="34" borderId="0" xfId="0" applyNumberFormat="1" applyFont="1" applyFill="1" applyBorder="1" applyAlignment="1">
      <alignment horizontal="right" wrapText="1"/>
    </xf>
    <xf numFmtId="43" fontId="5" fillId="0" borderId="0" xfId="42" applyFont="1" applyFill="1" applyAlignment="1">
      <alignment horizontal="right" wrapText="1"/>
    </xf>
    <xf numFmtId="0" fontId="87" fillId="0" borderId="0" xfId="0" applyFont="1" applyAlignment="1">
      <alignment/>
    </xf>
    <xf numFmtId="37" fontId="88" fillId="0" borderId="0" xfId="0" applyNumberFormat="1" applyFont="1" applyFill="1" applyBorder="1" applyAlignment="1">
      <alignment horizontal="left"/>
    </xf>
    <xf numFmtId="37" fontId="89" fillId="0" borderId="0" xfId="0" applyNumberFormat="1" applyFont="1" applyFill="1" applyBorder="1" applyAlignment="1">
      <alignment horizontal="left"/>
    </xf>
    <xf numFmtId="37" fontId="4" fillId="34" borderId="0" xfId="0" applyNumberFormat="1" applyFont="1" applyFill="1" applyAlignment="1">
      <alignment horizontal="right" wrapText="1"/>
    </xf>
    <xf numFmtId="166" fontId="5" fillId="34" borderId="0" xfId="42" applyNumberFormat="1" applyFont="1" applyFill="1" applyBorder="1" applyAlignment="1">
      <alignment horizontal="right" wrapText="1"/>
    </xf>
    <xf numFmtId="165" fontId="5" fillId="34" borderId="0" xfId="42" applyNumberFormat="1" applyFont="1" applyFill="1" applyBorder="1" applyAlignment="1">
      <alignment horizontal="right" wrapText="1"/>
    </xf>
    <xf numFmtId="171" fontId="5" fillId="34" borderId="0" xfId="42" applyNumberFormat="1" applyFont="1" applyFill="1" applyBorder="1" applyAlignment="1">
      <alignment horizontal="right" wrapText="1"/>
    </xf>
    <xf numFmtId="0" fontId="90" fillId="0" borderId="0" xfId="0" applyFont="1" applyAlignment="1">
      <alignment/>
    </xf>
    <xf numFmtId="0" fontId="15" fillId="33" borderId="0" xfId="52" applyFont="1" applyFill="1" applyAlignment="1" applyProtection="1">
      <alignment horizontal="left"/>
      <protection/>
    </xf>
    <xf numFmtId="37" fontId="13" fillId="35" borderId="0" xfId="52" applyNumberFormat="1" applyFont="1" applyFill="1" applyBorder="1" applyAlignment="1" applyProtection="1">
      <alignment horizontal="left"/>
      <protection/>
    </xf>
    <xf numFmtId="37" fontId="4" fillId="0" borderId="0" xfId="0" applyNumberFormat="1" applyFont="1" applyFill="1" applyBorder="1" applyAlignment="1">
      <alignment wrapText="1"/>
    </xf>
    <xf numFmtId="0" fontId="0" fillId="0" borderId="0" xfId="0" applyFont="1" applyFill="1" applyAlignment="1">
      <alignment wrapText="1"/>
    </xf>
    <xf numFmtId="0" fontId="4" fillId="0" borderId="0" xfId="0" applyFont="1" applyBorder="1" applyAlignment="1">
      <alignment horizontal="left" vertical="top" wrapText="1"/>
    </xf>
    <xf numFmtId="37" fontId="5" fillId="0" borderId="14"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22" fillId="0" borderId="14" xfId="0" applyNumberFormat="1" applyFont="1" applyBorder="1" applyAlignment="1">
      <alignment horizontal="right" vertical="top" wrapText="1"/>
    </xf>
    <xf numFmtId="37" fontId="22" fillId="0" borderId="13" xfId="0" applyNumberFormat="1" applyFont="1" applyBorder="1" applyAlignment="1">
      <alignment horizontal="right" vertical="top" wrapText="1"/>
    </xf>
    <xf numFmtId="37" fontId="4" fillId="0" borderId="14" xfId="0" applyNumberFormat="1" applyFont="1" applyBorder="1" applyAlignment="1">
      <alignment horizontal="right" vertical="top" wrapText="1"/>
    </xf>
    <xf numFmtId="37" fontId="4" fillId="0" borderId="13" xfId="0" applyNumberFormat="1" applyFont="1" applyBorder="1" applyAlignment="1">
      <alignment horizontal="right" vertical="top" wrapText="1"/>
    </xf>
    <xf numFmtId="37" fontId="6" fillId="0" borderId="14" xfId="0" applyNumberFormat="1" applyFont="1" applyBorder="1" applyAlignment="1">
      <alignment horizontal="right" vertical="top" wrapText="1"/>
    </xf>
    <xf numFmtId="37" fontId="6" fillId="0" borderId="13" xfId="0" applyNumberFormat="1" applyFont="1" applyBorder="1" applyAlignment="1">
      <alignment horizontal="right" vertical="top" wrapText="1"/>
    </xf>
    <xf numFmtId="0" fontId="5" fillId="0" borderId="14" xfId="0" applyFont="1" applyBorder="1" applyAlignment="1">
      <alignment horizontal="center" vertical="top" wrapText="1"/>
    </xf>
    <xf numFmtId="0" fontId="6" fillId="0" borderId="14" xfId="0" applyFont="1" applyBorder="1" applyAlignment="1">
      <alignment horizontal="center" vertical="top" wrapText="1"/>
    </xf>
    <xf numFmtId="37" fontId="6" fillId="0" borderId="14" xfId="0" applyNumberFormat="1" applyFont="1" applyBorder="1" applyAlignment="1">
      <alignment horizontal="center" vertical="top" wrapText="1"/>
    </xf>
    <xf numFmtId="37" fontId="6" fillId="0" borderId="13" xfId="0" applyNumberFormat="1" applyFont="1" applyBorder="1" applyAlignment="1">
      <alignment horizontal="center" vertical="top" wrapText="1"/>
    </xf>
    <xf numFmtId="0" fontId="6" fillId="0" borderId="14" xfId="0" applyFont="1" applyBorder="1" applyAlignment="1">
      <alignment horizontal="left" wrapText="1" indent="1"/>
    </xf>
    <xf numFmtId="0" fontId="6" fillId="0" borderId="13" xfId="0" applyFont="1" applyBorder="1" applyAlignment="1">
      <alignment horizontal="left"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1</xdr:row>
      <xdr:rowOff>28575</xdr:rowOff>
    </xdr:from>
    <xdr:to>
      <xdr:col>11</xdr:col>
      <xdr:colOff>552450</xdr:colOff>
      <xdr:row>7</xdr:row>
      <xdr:rowOff>123825</xdr:rowOff>
    </xdr:to>
    <xdr:pic>
      <xdr:nvPicPr>
        <xdr:cNvPr id="1" name="Picture 7" descr="logo_vd_lockup"/>
        <xdr:cNvPicPr preferRelativeResize="1">
          <a:picLocks noChangeAspect="1"/>
        </xdr:cNvPicPr>
      </xdr:nvPicPr>
      <xdr:blipFill>
        <a:blip r:embed="rId1"/>
        <a:stretch>
          <a:fillRect/>
        </a:stretch>
      </xdr:blipFill>
      <xdr:spPr>
        <a:xfrm>
          <a:off x="581025" y="114300"/>
          <a:ext cx="69532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B&amp;G\FinPerf\FinPerf\Prelease\2012\Jun%2012\Excel%20Supplementary\2012Q2_supp%20(final%20copy)_s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Highlights"/>
      <sheetName val="2.PerShare"/>
      <sheetName val="3.NetInterest"/>
      <sheetName val="4.NonInterest"/>
      <sheetName val="5.Expenses"/>
      <sheetName val="6.Allowances"/>
      <sheetName val="7.Loans"/>
      <sheetName val="8.AFS"/>
      <sheetName val="9.Deposits"/>
      <sheetName val="10.NPL,Coverage ratios"/>
      <sheetName val="11.NPA"/>
      <sheetName val="12.CumulativeAllowances"/>
      <sheetName val="13.Capital"/>
      <sheetName val="14.Mix"/>
      <sheetName val="15.Consumer"/>
      <sheetName val="16.Institutional"/>
      <sheetName val="17.Treasury"/>
      <sheetName val="18.Others"/>
      <sheetName val="19.S'pore"/>
      <sheetName val="20.HK"/>
      <sheetName val="21.GreaterChina"/>
      <sheetName val="22.SSEA"/>
      <sheetName val="23.ROW"/>
      <sheetName val="24.P&amp;L"/>
      <sheetName val="25.BalSheet"/>
      <sheetName val="26.CashFlow"/>
      <sheetName val="27.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B9:M65"/>
  <sheetViews>
    <sheetView tabSelected="1" zoomScale="80" zoomScaleNormal="80" zoomScalePageLayoutView="0" workbookViewId="0" topLeftCell="A1">
      <pane ySplit="9" topLeftCell="A10" activePane="bottomLeft" state="frozen"/>
      <selection pane="topLeft" activeCell="K37" sqref="K37"/>
      <selection pane="bottomLeft" activeCell="L10" sqref="L10"/>
    </sheetView>
  </sheetViews>
  <sheetFormatPr defaultColWidth="9.140625" defaultRowHeight="12.75"/>
  <cols>
    <col min="1" max="1" width="9.140625" style="1" customWidth="1"/>
    <col min="2" max="2" width="3.57421875" style="3" customWidth="1"/>
    <col min="3" max="3" width="46.421875" style="1" customWidth="1"/>
    <col min="4" max="10" width="5.28125" style="1" customWidth="1"/>
    <col min="11" max="11" width="8.57421875" style="4" customWidth="1"/>
    <col min="12" max="12" width="8.57421875" style="1" customWidth="1"/>
    <col min="13" max="16384" width="9.140625" style="1" customWidth="1"/>
  </cols>
  <sheetData>
    <row r="1" ht="6.75" customHeight="1"/>
    <row r="2" ht="12.75"/>
    <row r="3" ht="12.75"/>
    <row r="4" ht="12.75"/>
    <row r="5" ht="12.75"/>
    <row r="6" ht="12.75"/>
    <row r="7" ht="12.75"/>
    <row r="8" ht="15.75" customHeight="1"/>
    <row r="9" ht="24.75" customHeight="1">
      <c r="B9" s="2" t="s">
        <v>430</v>
      </c>
    </row>
    <row r="10" spans="2:11" s="12" customFormat="1" ht="15">
      <c r="B10" s="11"/>
      <c r="K10" s="13"/>
    </row>
    <row r="11" spans="2:11" s="12" customFormat="1" ht="15">
      <c r="B11" s="11"/>
      <c r="K11" s="37" t="s">
        <v>1</v>
      </c>
    </row>
    <row r="12" spans="2:13" s="12" customFormat="1" ht="14.25">
      <c r="B12" s="589" t="s">
        <v>51</v>
      </c>
      <c r="C12" s="589"/>
      <c r="D12" s="589"/>
      <c r="E12" s="589"/>
      <c r="F12" s="589"/>
      <c r="G12" s="589"/>
      <c r="H12" s="589"/>
      <c r="I12" s="589"/>
      <c r="J12" s="589"/>
      <c r="K12" s="69">
        <v>1</v>
      </c>
      <c r="L12" s="95"/>
      <c r="M12" s="95"/>
    </row>
    <row r="13" spans="2:13" s="12" customFormat="1" ht="14.25">
      <c r="B13" s="589" t="s">
        <v>92</v>
      </c>
      <c r="C13" s="589"/>
      <c r="D13" s="589"/>
      <c r="E13" s="589"/>
      <c r="F13" s="589"/>
      <c r="G13" s="589"/>
      <c r="H13" s="589"/>
      <c r="I13" s="589"/>
      <c r="J13" s="589"/>
      <c r="K13" s="69">
        <v>2</v>
      </c>
      <c r="L13" s="95"/>
      <c r="M13" s="95"/>
    </row>
    <row r="14" spans="2:13" s="12" customFormat="1" ht="11.25" customHeight="1">
      <c r="B14" s="96"/>
      <c r="C14" s="95"/>
      <c r="D14" s="95"/>
      <c r="E14" s="95"/>
      <c r="F14" s="95"/>
      <c r="G14" s="95"/>
      <c r="H14" s="95"/>
      <c r="I14" s="95"/>
      <c r="J14" s="95"/>
      <c r="K14" s="97"/>
      <c r="L14" s="95"/>
      <c r="M14" s="95"/>
    </row>
    <row r="15" spans="2:11" s="12" customFormat="1" ht="15">
      <c r="B15" s="98" t="s">
        <v>61</v>
      </c>
      <c r="K15" s="13"/>
    </row>
    <row r="16" spans="3:11" s="12" customFormat="1" ht="14.25">
      <c r="C16" s="69" t="s">
        <v>143</v>
      </c>
      <c r="K16" s="69">
        <v>3</v>
      </c>
    </row>
    <row r="17" spans="3:11" s="12" customFormat="1" ht="14.25">
      <c r="C17" s="69" t="s">
        <v>25</v>
      </c>
      <c r="K17" s="69">
        <v>4</v>
      </c>
    </row>
    <row r="18" spans="3:11" s="12" customFormat="1" ht="14.25">
      <c r="C18" s="69" t="s">
        <v>0</v>
      </c>
      <c r="K18" s="69">
        <v>5</v>
      </c>
    </row>
    <row r="19" spans="3:11" s="12" customFormat="1" ht="14.25">
      <c r="C19" s="69" t="s">
        <v>8</v>
      </c>
      <c r="K19" s="69">
        <v>6</v>
      </c>
    </row>
    <row r="20" spans="3:11" s="12" customFormat="1" ht="14.25">
      <c r="C20" s="69" t="s">
        <v>17</v>
      </c>
      <c r="K20" s="69">
        <v>7</v>
      </c>
    </row>
    <row r="21" spans="3:11" s="12" customFormat="1" ht="14.25">
      <c r="C21" s="69" t="s">
        <v>144</v>
      </c>
      <c r="K21" s="69">
        <v>8</v>
      </c>
    </row>
    <row r="22" spans="3:11" s="12" customFormat="1" ht="14.25">
      <c r="C22" s="69" t="s">
        <v>21</v>
      </c>
      <c r="K22" s="69">
        <v>9</v>
      </c>
    </row>
    <row r="23" spans="3:11" s="12" customFormat="1" ht="14.25">
      <c r="C23" s="69" t="s">
        <v>229</v>
      </c>
      <c r="K23" s="69">
        <v>10</v>
      </c>
    </row>
    <row r="24" spans="3:11" s="12" customFormat="1" ht="14.25">
      <c r="C24" s="69" t="s">
        <v>101</v>
      </c>
      <c r="K24" s="69">
        <v>11</v>
      </c>
    </row>
    <row r="25" spans="3:11" s="12" customFormat="1" ht="14.25">
      <c r="C25" s="69" t="s">
        <v>208</v>
      </c>
      <c r="K25" s="69">
        <v>12</v>
      </c>
    </row>
    <row r="26" spans="3:11" s="12" customFormat="1" ht="14.25">
      <c r="C26" s="69" t="s">
        <v>117</v>
      </c>
      <c r="K26" s="69">
        <v>13</v>
      </c>
    </row>
    <row r="27" spans="3:11" s="12" customFormat="1" ht="14.25">
      <c r="C27" s="13"/>
      <c r="K27" s="13"/>
    </row>
    <row r="28" spans="2:11" s="12" customFormat="1" ht="15">
      <c r="B28" s="82" t="s">
        <v>145</v>
      </c>
      <c r="K28" s="13"/>
    </row>
    <row r="29" spans="2:11" s="12" customFormat="1" ht="15">
      <c r="B29" s="82"/>
      <c r="C29" s="69" t="s">
        <v>228</v>
      </c>
      <c r="K29" s="69">
        <v>14</v>
      </c>
    </row>
    <row r="30" spans="3:11" s="12" customFormat="1" ht="14.25">
      <c r="C30" s="99" t="s">
        <v>62</v>
      </c>
      <c r="K30" s="13"/>
    </row>
    <row r="31" spans="2:11" s="12" customFormat="1" ht="15">
      <c r="B31" s="82"/>
      <c r="C31" s="69" t="s">
        <v>376</v>
      </c>
      <c r="K31" s="69">
        <v>15</v>
      </c>
    </row>
    <row r="32" spans="2:11" s="12" customFormat="1" ht="15">
      <c r="B32" s="82"/>
      <c r="C32" s="69" t="s">
        <v>331</v>
      </c>
      <c r="K32" s="69">
        <v>16</v>
      </c>
    </row>
    <row r="33" spans="2:11" s="12" customFormat="1" ht="15">
      <c r="B33" s="82"/>
      <c r="C33" s="69" t="s">
        <v>332</v>
      </c>
      <c r="K33" s="69">
        <v>17</v>
      </c>
    </row>
    <row r="34" spans="2:11" s="12" customFormat="1" ht="15">
      <c r="B34" s="82"/>
      <c r="C34" s="69" t="s">
        <v>35</v>
      </c>
      <c r="K34" s="69">
        <v>18</v>
      </c>
    </row>
    <row r="35" spans="2:11" s="12" customFormat="1" ht="15">
      <c r="B35" s="82"/>
      <c r="C35" s="99" t="s">
        <v>63</v>
      </c>
      <c r="K35" s="13"/>
    </row>
    <row r="36" spans="2:11" s="12" customFormat="1" ht="15">
      <c r="B36" s="82"/>
      <c r="C36" s="69" t="s">
        <v>48</v>
      </c>
      <c r="K36" s="69">
        <v>19</v>
      </c>
    </row>
    <row r="37" spans="2:11" s="12" customFormat="1" ht="15">
      <c r="B37" s="82"/>
      <c r="C37" s="69" t="s">
        <v>49</v>
      </c>
      <c r="K37" s="69">
        <v>20</v>
      </c>
    </row>
    <row r="38" spans="2:11" s="12" customFormat="1" ht="15">
      <c r="B38" s="82"/>
      <c r="C38" s="69" t="s">
        <v>73</v>
      </c>
      <c r="K38" s="69">
        <v>21</v>
      </c>
    </row>
    <row r="39" spans="2:11" s="12" customFormat="1" ht="15">
      <c r="B39" s="82"/>
      <c r="C39" s="69" t="s">
        <v>93</v>
      </c>
      <c r="K39" s="69">
        <v>22</v>
      </c>
    </row>
    <row r="40" spans="2:11" s="12" customFormat="1" ht="15">
      <c r="B40" s="82"/>
      <c r="C40" s="69" t="s">
        <v>75</v>
      </c>
      <c r="K40" s="69">
        <v>23</v>
      </c>
    </row>
    <row r="41" spans="2:11" s="12" customFormat="1" ht="15">
      <c r="B41" s="82"/>
      <c r="K41" s="13"/>
    </row>
    <row r="42" spans="2:11" s="12" customFormat="1" ht="14.25">
      <c r="B42" s="589" t="s">
        <v>327</v>
      </c>
      <c r="C42" s="589"/>
      <c r="D42" s="589"/>
      <c r="E42" s="589"/>
      <c r="F42" s="589"/>
      <c r="G42" s="589"/>
      <c r="H42" s="589"/>
      <c r="I42" s="589"/>
      <c r="J42" s="589"/>
      <c r="K42" s="69">
        <v>24</v>
      </c>
    </row>
    <row r="43" spans="2:11" s="12" customFormat="1" ht="14.25">
      <c r="B43" s="589" t="s">
        <v>328</v>
      </c>
      <c r="C43" s="589"/>
      <c r="D43" s="589"/>
      <c r="E43" s="589"/>
      <c r="F43" s="589"/>
      <c r="G43" s="589"/>
      <c r="H43" s="589"/>
      <c r="I43" s="589"/>
      <c r="J43" s="589"/>
      <c r="K43" s="69">
        <v>25</v>
      </c>
    </row>
    <row r="44" spans="2:11" s="12" customFormat="1" ht="14.25">
      <c r="B44" s="589" t="s">
        <v>329</v>
      </c>
      <c r="C44" s="589"/>
      <c r="D44" s="589"/>
      <c r="E44" s="589"/>
      <c r="F44" s="589"/>
      <c r="G44" s="589"/>
      <c r="H44" s="589"/>
      <c r="I44" s="589"/>
      <c r="J44" s="589"/>
      <c r="K44" s="69">
        <v>26</v>
      </c>
    </row>
    <row r="45" spans="2:11" s="12" customFormat="1" ht="14.25">
      <c r="B45" s="589" t="s">
        <v>172</v>
      </c>
      <c r="C45" s="589"/>
      <c r="D45" s="589"/>
      <c r="E45" s="589"/>
      <c r="F45" s="589"/>
      <c r="G45" s="589"/>
      <c r="H45" s="589"/>
      <c r="I45" s="589"/>
      <c r="J45" s="589"/>
      <c r="K45" s="69">
        <v>27</v>
      </c>
    </row>
    <row r="46" spans="2:11" s="12" customFormat="1" ht="14.25">
      <c r="B46" s="13"/>
      <c r="K46" s="13"/>
    </row>
    <row r="47" spans="2:11" s="12" customFormat="1" ht="14.25">
      <c r="B47" s="14"/>
      <c r="K47" s="13"/>
    </row>
    <row r="48" spans="2:11" s="12" customFormat="1" ht="14.25">
      <c r="B48" s="14"/>
      <c r="K48" s="13"/>
    </row>
    <row r="49" spans="2:11" s="12" customFormat="1" ht="14.25">
      <c r="B49" s="14"/>
      <c r="K49" s="13"/>
    </row>
    <row r="50" spans="2:11" s="12" customFormat="1" ht="14.25">
      <c r="B50" s="14"/>
      <c r="K50" s="13"/>
    </row>
    <row r="51" spans="2:11" s="12" customFormat="1" ht="14.25">
      <c r="B51" s="14"/>
      <c r="K51" s="13"/>
    </row>
    <row r="52" spans="2:11" s="12" customFormat="1" ht="14.25">
      <c r="B52" s="14"/>
      <c r="K52" s="13"/>
    </row>
    <row r="53" spans="2:11" s="12" customFormat="1" ht="14.25">
      <c r="B53" s="14"/>
      <c r="K53" s="13"/>
    </row>
    <row r="54" spans="2:11" s="12" customFormat="1" ht="14.25">
      <c r="B54" s="14"/>
      <c r="K54" s="13"/>
    </row>
    <row r="55" spans="2:11" s="12" customFormat="1" ht="14.25">
      <c r="B55" s="14"/>
      <c r="K55" s="13"/>
    </row>
    <row r="56" spans="2:11" s="12" customFormat="1" ht="14.25">
      <c r="B56" s="14"/>
      <c r="K56" s="13"/>
    </row>
    <row r="57" spans="2:11" s="12" customFormat="1" ht="14.25">
      <c r="B57" s="14"/>
      <c r="K57" s="13"/>
    </row>
    <row r="58" spans="2:11" s="12" customFormat="1" ht="14.25">
      <c r="B58" s="14"/>
      <c r="K58" s="13"/>
    </row>
    <row r="59" spans="2:11" s="12" customFormat="1" ht="14.25">
      <c r="B59" s="14"/>
      <c r="K59" s="13"/>
    </row>
    <row r="60" spans="2:11" s="12" customFormat="1" ht="14.25">
      <c r="B60" s="14"/>
      <c r="K60" s="13"/>
    </row>
    <row r="61" spans="2:11" s="12" customFormat="1" ht="14.25">
      <c r="B61" s="14"/>
      <c r="K61" s="13"/>
    </row>
    <row r="62" spans="2:11" s="12" customFormat="1" ht="14.25">
      <c r="B62" s="14"/>
      <c r="K62" s="13"/>
    </row>
    <row r="63" spans="2:11" s="12" customFormat="1" ht="14.25">
      <c r="B63" s="14"/>
      <c r="K63" s="13"/>
    </row>
    <row r="64" spans="2:11" s="12" customFormat="1" ht="14.25">
      <c r="B64" s="14"/>
      <c r="K64" s="13"/>
    </row>
    <row r="65" spans="2:11" s="12" customFormat="1" ht="14.25">
      <c r="B65" s="14"/>
      <c r="K65" s="13"/>
    </row>
  </sheetData>
  <sheetProtection/>
  <mergeCells count="6">
    <mergeCell ref="B44:J44"/>
    <mergeCell ref="B45:J45"/>
    <mergeCell ref="B12:J12"/>
    <mergeCell ref="B13:J13"/>
    <mergeCell ref="B42:J42"/>
    <mergeCell ref="B43:J43"/>
  </mergeCells>
  <hyperlinks>
    <hyperlink ref="B12" location="'1.Highlights'!A1" display="Performance highlights"/>
    <hyperlink ref="K12" location="'1.Highlights'!A1" display="'1.Highlights'!A1"/>
    <hyperlink ref="B13:J13" location="'2.PerShare'!A1" display="Ordinary share data"/>
    <hyperlink ref="K13" location="'2.PerShare'!A1" display="'2.PerShare'!A1"/>
    <hyperlink ref="C16" location="'3.NetInterest'!A1" display="Net interest income, average balances and rates"/>
    <hyperlink ref="C17" location="'4.NonInterest'!A1" display="Non-interest income"/>
    <hyperlink ref="C18" location="'5.Expenses'!A1" display="Expenses"/>
    <hyperlink ref="C19" location="'6.Allowances'!A1" display="Allowances for credit and other losses"/>
    <hyperlink ref="C20" location="'7.Loans'!A1" display="Customer Loans"/>
    <hyperlink ref="C21" location="'8.AFS'!A1" display="Funding Sources"/>
    <hyperlink ref="C22" location="'9.Deposits'!A1" display="Customer Deposits"/>
    <hyperlink ref="C23" location="'10.NPL,Coverage ratios'!A1" display="Non-performing loan and coverage ratios"/>
    <hyperlink ref="C26" location="'13.Capital'!A1" display="Capital adequacy"/>
    <hyperlink ref="K16" location="'3.NetInterest'!A1" display="'3.NetInterest'!A1"/>
    <hyperlink ref="K17" location="'4.NonInterest'!A1" display="'4.NonInterest'!A1"/>
    <hyperlink ref="K18" location="'5.Expenses'!A1" display="'5.Expenses'!A1"/>
    <hyperlink ref="K19" location="'6.Allowances'!A1" display="'6.Allowances'!A1"/>
    <hyperlink ref="K20" location="'7.Loans'!A1" display="'7.Loans'!A1"/>
    <hyperlink ref="K21" location="'8.AFS'!A1" display="'8.AFS'!A1"/>
    <hyperlink ref="K22" location="'9.Deposits'!A1" display="'9.Deposits'!A1"/>
    <hyperlink ref="K23" location="'10.NPL,Coverage ratios'!A1" display="'10.NPL,Coverage ratios'!A1"/>
    <hyperlink ref="K26" location="'13.Capital'!A1" display="'13.Capital'!A1"/>
    <hyperlink ref="C29" location="'14.Mix'!A1" display="Business and geographical mix"/>
    <hyperlink ref="K29" location="'14.Mix'!A1" display="'14.Mix'!A1"/>
    <hyperlink ref="C24" location="'11.NPA'!A1" display="Non-performing assets"/>
    <hyperlink ref="K24" location="'11.NPA'!A1" display="'11.NPA'!A1"/>
    <hyperlink ref="C25" location="'12.CumulativeAllowances'!A1" display="Cumulative loss allowances"/>
    <hyperlink ref="K25" location="'12.CumulativeAllowances'!A1" display="'12.CumulativeAllowances'!A1"/>
    <hyperlink ref="C31" location="'15.Consumer'!A1" display="Consumer/ Private Banking"/>
    <hyperlink ref="K31" location="'15.Consumer'!A1" display="'15.Consumer'!A1"/>
    <hyperlink ref="C32" location="'16.Institutional'!A1" display="Institutional Banking"/>
    <hyperlink ref="K32" location="'16.Institutional'!A1" display="'16.Institutional'!A1"/>
    <hyperlink ref="C33" location="'17.Treasury'!A1" display="Treasury"/>
    <hyperlink ref="K33" location="'17.Treasury'!A1" display="'17.Treasury'!A1"/>
    <hyperlink ref="C34" location="'18.Others'!A1" display="Others"/>
    <hyperlink ref="K34" location="'18.Others'!A1" display="'18.Others'!A1"/>
    <hyperlink ref="C36" location="'19.S''pore'!A1" display="Singapore"/>
    <hyperlink ref="C37" location="'20.HK'!A1" display="Hong Kong"/>
    <hyperlink ref="C38" location="'21.GreaterChina'!A1" display="Rest of Greater China"/>
    <hyperlink ref="C39" location="'22.SSEA'!A1" display="South and South-East Asia"/>
    <hyperlink ref="C40" location="'23.ROW'!A1" display="Rest of World"/>
    <hyperlink ref="K36" location="'19.S''pore'!A1" display="'19.S''pore'!A1"/>
    <hyperlink ref="K37" location="'20.HK'!A1" display="'20.HK'!A1"/>
    <hyperlink ref="K38" location="'21.GreaterChina'!A1" display="'21.GreaterChina'!A1"/>
    <hyperlink ref="K39" location="'22.SSEA'!A1" display="'22.SSEA'!A1"/>
    <hyperlink ref="K40" location="'23.ROW'!A1" display="'23.ROW'!A1"/>
    <hyperlink ref="B42" location="'25.P&amp;L'!A1" display="Unaudited consolidated income statement"/>
    <hyperlink ref="B43" location="'26.BalSheet'!A1" display="Unaudited consolidated balance sheet"/>
    <hyperlink ref="B44" location="'27.CashFlow'!A1" display="Unaudited consolidated cash flow statement"/>
    <hyperlink ref="B45" location="'28.Legend'!A1" display="Legend of terms used"/>
    <hyperlink ref="K42" location="'24.P&amp;L'!A1" display="'24.P&amp;L'!A1"/>
    <hyperlink ref="K43" location="'25.BalSheet'!A1" display="'25.BalSheet'!A1"/>
    <hyperlink ref="K44" location="'26.CashFlow'!A1" display="'26.CashFlow'!A1"/>
    <hyperlink ref="K45" location="'27.Legend'!A1" display="'27.Legend'!A1"/>
    <hyperlink ref="B42:J42" location="'24.P&amp;L'!A1" display="Consolidated income statement"/>
    <hyperlink ref="B43:J43" location="'25.BalSheet'!A1" display="Consolidated balance sheet"/>
    <hyperlink ref="B44:J44" location="'26.CashFlow'!A1" display="Consolidated cash flow statement"/>
    <hyperlink ref="B45:J45" location="'27.Legend'!A1" display="Legend of terms used"/>
  </hyperlinks>
  <printOptions/>
  <pageMargins left="0.75" right="0.75" top="0.67" bottom="1" header="0.5" footer="0.5"/>
  <pageSetup fitToHeight="1" fitToWidth="1" horizontalDpi="600" verticalDpi="600" orientation="landscape" scale="73" r:id="rId2"/>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AL31"/>
  <sheetViews>
    <sheetView zoomScale="80" zoomScaleNormal="80" zoomScalePageLayoutView="0" workbookViewId="0" topLeftCell="A1">
      <pane xSplit="3" ySplit="2" topLeftCell="V3" activePane="bottomRight" state="frozen"/>
      <selection pane="topLeft" activeCell="V22" sqref="V22"/>
      <selection pane="topRight" activeCell="V22" sqref="V22"/>
      <selection pane="bottomLeft" activeCell="V22" sqref="V22"/>
      <selection pane="bottomRight" activeCell="AO15" sqref="AO15"/>
    </sheetView>
  </sheetViews>
  <sheetFormatPr defaultColWidth="9.140625" defaultRowHeight="12.75" outlineLevelCol="1"/>
  <cols>
    <col min="1" max="1" width="2.140625" style="22" customWidth="1"/>
    <col min="2" max="2" width="2.57421875" style="22" customWidth="1"/>
    <col min="3" max="3" width="28.28125" style="10" customWidth="1"/>
    <col min="4" max="4" width="11.57421875" style="76" hidden="1" customWidth="1" outlineLevel="1"/>
    <col min="5" max="8" width="11.57421875" style="75" hidden="1" customWidth="1" outlineLevel="1"/>
    <col min="9" max="9" width="2.8515625" style="75" hidden="1" customWidth="1" outlineLevel="1"/>
    <col min="10" max="10" width="11.140625" style="75" hidden="1" customWidth="1" outlineLevel="1"/>
    <col min="11" max="11" width="11.57421875" style="75" hidden="1" customWidth="1" outlineLevel="1"/>
    <col min="12" max="17" width="11.28125" style="75" hidden="1" customWidth="1" outlineLevel="1"/>
    <col min="18" max="19" width="11.28125" style="75" hidden="1" customWidth="1" outlineLevel="1" collapsed="1"/>
    <col min="20" max="21" width="11.28125" style="75" hidden="1" customWidth="1" outlineLevel="1"/>
    <col min="22" max="22" width="11.28125" style="75" customWidth="1" collapsed="1"/>
    <col min="23" max="27" width="11.28125" style="75" customWidth="1"/>
    <col min="28" max="28" width="11.28125" style="119" customWidth="1"/>
    <col min="29" max="30" width="8.28125" style="75" customWidth="1"/>
    <col min="31" max="31" width="4.00390625" style="21" customWidth="1"/>
    <col min="32" max="32" width="10.421875" style="75" customWidth="1"/>
    <col min="33" max="33" width="11.421875" style="119" customWidth="1"/>
    <col min="34" max="34" width="10.7109375" style="75" customWidth="1"/>
    <col min="35" max="35" width="10.421875" style="121" hidden="1" customWidth="1"/>
    <col min="36" max="36" width="10.421875" style="122" hidden="1" customWidth="1"/>
    <col min="37" max="37" width="10.421875" style="121" hidden="1" customWidth="1"/>
    <col min="38" max="16384" width="9.140625" style="22" customWidth="1"/>
  </cols>
  <sheetData>
    <row r="1" spans="1:37" s="42" customFormat="1" ht="20.25">
      <c r="A1" s="41" t="s">
        <v>21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'1.Highlights'!AC2</f>
        <v>3Q13
vs 
2Q13</v>
      </c>
      <c r="AD2" s="285" t="str">
        <f>'1.Highlights'!AD2</f>
        <v>3Q13
vs 
3Q12</v>
      </c>
      <c r="AF2" s="74" t="s">
        <v>442</v>
      </c>
      <c r="AG2" s="74" t="s">
        <v>443</v>
      </c>
      <c r="AH2" s="285" t="s">
        <v>444</v>
      </c>
      <c r="AI2" s="285" t="str">
        <f>+'8.AFS'!AI2</f>
        <v>1H12</v>
      </c>
      <c r="AJ2" s="285" t="str">
        <f>+'8.AFS'!AJ2</f>
        <v>1H13</v>
      </c>
      <c r="AK2" s="285" t="str">
        <f>+'8.AFS'!AK2</f>
        <v>1H13
vs 
1H12</v>
      </c>
    </row>
    <row r="3" spans="1:37" s="24" customFormat="1" ht="14.25" customHeight="1">
      <c r="A3" s="9"/>
      <c r="D3" s="8"/>
      <c r="E3" s="17"/>
      <c r="F3" s="17"/>
      <c r="G3" s="17"/>
      <c r="H3" s="17"/>
      <c r="I3" s="17"/>
      <c r="J3" s="17"/>
      <c r="K3" s="17"/>
      <c r="L3" s="17"/>
      <c r="M3" s="17"/>
      <c r="N3" s="17"/>
      <c r="O3" s="17"/>
      <c r="P3" s="17"/>
      <c r="Q3" s="17"/>
      <c r="R3" s="17"/>
      <c r="S3" s="17"/>
      <c r="T3" s="17"/>
      <c r="U3" s="17"/>
      <c r="V3" s="17"/>
      <c r="W3" s="17"/>
      <c r="X3" s="17"/>
      <c r="Y3" s="17"/>
      <c r="Z3" s="354"/>
      <c r="AA3" s="354"/>
      <c r="AB3" s="125"/>
      <c r="AC3" s="17"/>
      <c r="AD3" s="17"/>
      <c r="AF3" s="17"/>
      <c r="AG3" s="125"/>
      <c r="AH3" s="17"/>
      <c r="AI3" s="17"/>
      <c r="AJ3" s="125"/>
      <c r="AK3" s="17"/>
    </row>
    <row r="4" spans="1:37" s="24" customFormat="1" ht="14.25" customHeight="1">
      <c r="A4" s="40" t="s">
        <v>221</v>
      </c>
      <c r="D4" s="8"/>
      <c r="E4" s="17"/>
      <c r="F4" s="17"/>
      <c r="G4" s="17"/>
      <c r="H4" s="17"/>
      <c r="I4" s="17"/>
      <c r="J4" s="17"/>
      <c r="K4" s="17"/>
      <c r="L4" s="17"/>
      <c r="M4" s="17"/>
      <c r="N4" s="17"/>
      <c r="O4" s="17"/>
      <c r="P4" s="17"/>
      <c r="Q4" s="17"/>
      <c r="R4" s="17"/>
      <c r="S4" s="17"/>
      <c r="T4" s="17"/>
      <c r="U4" s="17"/>
      <c r="V4" s="17"/>
      <c r="W4" s="17"/>
      <c r="X4" s="17"/>
      <c r="Y4" s="17"/>
      <c r="Z4" s="17"/>
      <c r="AA4" s="17"/>
      <c r="AB4" s="125"/>
      <c r="AC4" s="17"/>
      <c r="AD4" s="17"/>
      <c r="AF4" s="17"/>
      <c r="AG4" s="125"/>
      <c r="AH4" s="17"/>
      <c r="AI4" s="169"/>
      <c r="AJ4" s="125"/>
      <c r="AK4" s="17"/>
    </row>
    <row r="5" spans="1:37" s="18" customFormat="1" ht="15">
      <c r="A5" s="31" t="s">
        <v>21</v>
      </c>
      <c r="D5" s="17">
        <v>169858</v>
      </c>
      <c r="E5" s="17">
        <v>183432</v>
      </c>
      <c r="F5" s="17">
        <v>193692</v>
      </c>
      <c r="G5" s="17">
        <v>225346</v>
      </c>
      <c r="H5" s="17">
        <v>242907</v>
      </c>
      <c r="I5" s="17"/>
      <c r="J5" s="17">
        <v>179818</v>
      </c>
      <c r="K5" s="17">
        <v>179033</v>
      </c>
      <c r="L5" s="17">
        <v>180185</v>
      </c>
      <c r="M5" s="17">
        <v>183432</v>
      </c>
      <c r="N5" s="17">
        <v>181560</v>
      </c>
      <c r="O5" s="17">
        <v>183929</v>
      </c>
      <c r="P5" s="17">
        <v>185211</v>
      </c>
      <c r="Q5" s="17">
        <v>193692</v>
      </c>
      <c r="R5" s="17">
        <v>199536</v>
      </c>
      <c r="S5" s="17">
        <v>210536</v>
      </c>
      <c r="T5" s="17">
        <v>219714</v>
      </c>
      <c r="U5" s="17">
        <v>225346</v>
      </c>
      <c r="V5" s="17">
        <v>232186</v>
      </c>
      <c r="W5" s="17">
        <v>230566</v>
      </c>
      <c r="X5" s="17">
        <v>240178</v>
      </c>
      <c r="Y5" s="17">
        <v>242907</v>
      </c>
      <c r="Z5" s="17">
        <v>250815</v>
      </c>
      <c r="AA5" s="17">
        <v>261397</v>
      </c>
      <c r="AB5" s="125">
        <f>AB6+AB11+AB16+AB21</f>
        <v>270211</v>
      </c>
      <c r="AC5" s="17">
        <f aca="true" t="shared" si="0" ref="AC5:AC25">IF(AND(AB5=0,AB5=0),0,IF(OR(AND(AB5&gt;0,AA5&lt;=0),AND(AB5&lt;0,AA5&gt;=0)),"nm",IF(AND(AB5&lt;0,AA5&lt;0),IF(-(AB5/AA5-1)*100&lt;-100,"(&gt;100)",-(AB5/AA5-1)*100),IF((AB5/AA5-1)*100&gt;100,"&gt;100",(AB5/AA5-1)*100))))</f>
        <v>3.3718826153322334</v>
      </c>
      <c r="AD5" s="17">
        <f aca="true" t="shared" si="1" ref="AD5:AD25">IF(AND(AB5=0,X5=0),0,IF(OR(AND(AB5&gt;0,X5&lt;=0),AND(AB5&lt;0,X5&gt;=0)),"nm",IF(AND(AB5&lt;0,X5&lt;0),IF(-(AB5/X5-1)*100&lt;-100,"(&gt;100)",-(AB5/X5-1)*100),IF((AB5/X5-1)*100&gt;100,"&gt;100",(AB5/X5-1)*100))))</f>
        <v>12.504475847080077</v>
      </c>
      <c r="AE5" s="15"/>
      <c r="AF5" s="17">
        <v>240178</v>
      </c>
      <c r="AG5" s="125">
        <f>AG6+AG11+AG16+AG21</f>
        <v>270211</v>
      </c>
      <c r="AH5" s="17">
        <f>IF(AND(AG5=0,AF5=0),0,IF(OR(AND(AG5&gt;0,AF5&lt;=0),AND(AG5&lt;0,AF5&gt;=0)),"nm",IF(AND(AG5&lt;0,AF5&lt;0),IF(-(AG5/AF5-1)*100&lt;-100,"(&gt;100)",-(AG5/AF5-1)*100),IF((AG5/AF5-1)*100&gt;100,"&gt;100",(AG5/AF5-1)*100))))</f>
        <v>12.504475847080077</v>
      </c>
      <c r="AI5" s="17">
        <f>W5</f>
        <v>230566</v>
      </c>
      <c r="AJ5" s="125">
        <f>AA5</f>
        <v>261397</v>
      </c>
      <c r="AK5" s="17">
        <f>IF(AND(AJ5=0,AI5=0),0,IF(OR(AND(AJ5&gt;0,AI5&lt;=0),AND(AJ5&lt;0,AI5&gt;=0)),"nm",IF(AND(AJ5&lt;0,AI5&lt;0),IF(-(AJ5/AI5-1)*100&lt;-100,"(&gt;100)",-(AJ5/AI5-1)*100),IF((AJ5/AI5-1)*100&gt;100,"&gt;100",(AJ5/AI5-1)*100))))</f>
        <v>13.37187616560984</v>
      </c>
    </row>
    <row r="6" spans="2:37" s="18" customFormat="1" ht="15">
      <c r="B6" s="31" t="s">
        <v>97</v>
      </c>
      <c r="D6" s="17">
        <v>93957</v>
      </c>
      <c r="E6" s="17">
        <v>103842</v>
      </c>
      <c r="F6" s="17">
        <v>112228</v>
      </c>
      <c r="G6" s="17">
        <v>122992</v>
      </c>
      <c r="H6" s="17">
        <v>131000</v>
      </c>
      <c r="I6" s="17"/>
      <c r="J6" s="17">
        <v>98356</v>
      </c>
      <c r="K6" s="17">
        <f>K7+K8+K9+K10</f>
        <v>99415</v>
      </c>
      <c r="L6" s="17">
        <v>99475</v>
      </c>
      <c r="M6" s="17">
        <v>103842</v>
      </c>
      <c r="N6" s="17">
        <v>104748</v>
      </c>
      <c r="O6" s="17">
        <v>105209</v>
      </c>
      <c r="P6" s="17">
        <v>105672</v>
      </c>
      <c r="Q6" s="17">
        <v>112228</v>
      </c>
      <c r="R6" s="17">
        <v>115409</v>
      </c>
      <c r="S6" s="17">
        <v>119723</v>
      </c>
      <c r="T6" s="17">
        <v>120913</v>
      </c>
      <c r="U6" s="17">
        <v>122992</v>
      </c>
      <c r="V6" s="17">
        <v>126767</v>
      </c>
      <c r="W6" s="17">
        <v>124091</v>
      </c>
      <c r="X6" s="17">
        <v>129199</v>
      </c>
      <c r="Y6" s="17">
        <v>131000</v>
      </c>
      <c r="Z6" s="17">
        <v>134295</v>
      </c>
      <c r="AA6" s="17">
        <v>138947</v>
      </c>
      <c r="AB6" s="125">
        <f>SUM(AB7:AB10)</f>
        <v>136024</v>
      </c>
      <c r="AC6" s="17">
        <f t="shared" si="0"/>
        <v>-2.103679820363158</v>
      </c>
      <c r="AD6" s="17">
        <f t="shared" si="1"/>
        <v>5.2825486265373645</v>
      </c>
      <c r="AE6" s="15"/>
      <c r="AF6" s="17">
        <v>129199</v>
      </c>
      <c r="AG6" s="125">
        <f>SUM(AG7:AG10)</f>
        <v>136024</v>
      </c>
      <c r="AH6" s="17">
        <f aca="true" t="shared" si="2" ref="AH6:AH11">IF(AND(AG6=0,AF6=0),0,IF(OR(AND(AG6&gt;0,AF6&lt;=0),AND(AG6&lt;0,AF6&gt;=0)),"nm",IF(AND(AG6&lt;0,AF6&lt;0),IF(-(AG6/AF6-1)*100&lt;-100,"(&gt;100)",-(AG6/AF6-1)*100),IF((AG6/AF6-1)*100&gt;100,"&gt;100",(AG6/AF6-1)*100))))</f>
        <v>5.2825486265373645</v>
      </c>
      <c r="AI6" s="17">
        <f aca="true" t="shared" si="3" ref="AI6:AI25">W6</f>
        <v>124091</v>
      </c>
      <c r="AJ6" s="396">
        <f aca="true" t="shared" si="4" ref="AJ6:AJ25">AA6</f>
        <v>138947</v>
      </c>
      <c r="AK6" s="17">
        <f aca="true" t="shared" si="5" ref="AK6:AK11">IF(AND(AJ6=0,AI6=0),0,IF(OR(AND(AJ6&gt;0,AI6&lt;=0),AND(AJ6&lt;0,AI6&gt;=0)),"nm",IF(AND(AJ6&lt;0,AI6&lt;0),IF(-(AJ6/AI6-1)*100&lt;-100,"(&gt;100)",-(AJ6/AI6-1)*100),IF((AJ6/AI6-1)*100&gt;100,"&gt;100",(AJ6/AI6-1)*100))))</f>
        <v>11.971859361275182</v>
      </c>
    </row>
    <row r="7" spans="2:38" ht="15">
      <c r="B7" s="36"/>
      <c r="C7" s="22" t="s">
        <v>109</v>
      </c>
      <c r="D7" s="75">
        <v>20645</v>
      </c>
      <c r="E7" s="75">
        <v>20617</v>
      </c>
      <c r="F7" s="75">
        <v>20081</v>
      </c>
      <c r="G7" s="75">
        <v>17701</v>
      </c>
      <c r="H7" s="75">
        <v>19501</v>
      </c>
      <c r="J7" s="75">
        <v>19692</v>
      </c>
      <c r="K7" s="75">
        <v>18616</v>
      </c>
      <c r="L7" s="75">
        <v>18358</v>
      </c>
      <c r="M7" s="75">
        <v>20617</v>
      </c>
      <c r="N7" s="75">
        <v>18691</v>
      </c>
      <c r="O7" s="75">
        <v>17921</v>
      </c>
      <c r="P7" s="75">
        <v>16473</v>
      </c>
      <c r="Q7" s="75">
        <v>20081</v>
      </c>
      <c r="R7" s="75">
        <v>20078</v>
      </c>
      <c r="S7" s="75">
        <v>20787</v>
      </c>
      <c r="T7" s="75">
        <v>19793</v>
      </c>
      <c r="U7" s="75">
        <v>17701</v>
      </c>
      <c r="V7" s="75">
        <v>19670</v>
      </c>
      <c r="W7" s="75">
        <v>17805</v>
      </c>
      <c r="X7" s="75">
        <v>20310</v>
      </c>
      <c r="Y7" s="75">
        <v>19501</v>
      </c>
      <c r="Z7" s="75">
        <v>17636</v>
      </c>
      <c r="AA7" s="121">
        <v>21190</v>
      </c>
      <c r="AB7" s="122">
        <v>18984</v>
      </c>
      <c r="AC7" s="75">
        <f t="shared" si="0"/>
        <v>-10.410571024067961</v>
      </c>
      <c r="AD7" s="75">
        <f t="shared" si="1"/>
        <v>-6.528803545051698</v>
      </c>
      <c r="AF7" s="75">
        <v>20310</v>
      </c>
      <c r="AG7" s="392">
        <f>AB7</f>
        <v>18984</v>
      </c>
      <c r="AH7" s="75">
        <f t="shared" si="2"/>
        <v>-6.528803545051698</v>
      </c>
      <c r="AI7" s="121">
        <f t="shared" si="3"/>
        <v>17805</v>
      </c>
      <c r="AJ7" s="392">
        <f t="shared" si="4"/>
        <v>21190</v>
      </c>
      <c r="AK7" s="121">
        <f t="shared" si="5"/>
        <v>19.011513619769737</v>
      </c>
      <c r="AL7" s="18"/>
    </row>
    <row r="8" spans="2:38" ht="15">
      <c r="B8" s="36"/>
      <c r="C8" s="22" t="s">
        <v>110</v>
      </c>
      <c r="D8" s="75">
        <v>62068</v>
      </c>
      <c r="E8" s="75">
        <v>69160</v>
      </c>
      <c r="F8" s="75">
        <v>76417</v>
      </c>
      <c r="G8" s="75">
        <v>86065</v>
      </c>
      <c r="H8" s="75">
        <v>90561</v>
      </c>
      <c r="J8" s="75">
        <v>65803</v>
      </c>
      <c r="K8" s="75">
        <v>66680</v>
      </c>
      <c r="L8" s="75">
        <v>67186</v>
      </c>
      <c r="M8" s="75">
        <v>69160</v>
      </c>
      <c r="N8" s="75">
        <v>71473</v>
      </c>
      <c r="O8" s="75">
        <v>72073</v>
      </c>
      <c r="P8" s="75">
        <v>74068</v>
      </c>
      <c r="Q8" s="75">
        <v>76417</v>
      </c>
      <c r="R8" s="75">
        <v>78983</v>
      </c>
      <c r="S8" s="75">
        <v>81169</v>
      </c>
      <c r="T8" s="75">
        <v>82657</v>
      </c>
      <c r="U8" s="75">
        <v>86065</v>
      </c>
      <c r="V8" s="75">
        <v>87762</v>
      </c>
      <c r="W8" s="75">
        <v>87169</v>
      </c>
      <c r="X8" s="75">
        <v>88839</v>
      </c>
      <c r="Y8" s="75">
        <v>90561</v>
      </c>
      <c r="Z8" s="75">
        <v>94485</v>
      </c>
      <c r="AA8" s="121">
        <v>94347</v>
      </c>
      <c r="AB8" s="122">
        <v>95416</v>
      </c>
      <c r="AC8" s="75">
        <f t="shared" si="0"/>
        <v>1.1330513953808907</v>
      </c>
      <c r="AD8" s="75">
        <f t="shared" si="1"/>
        <v>7.403280090951037</v>
      </c>
      <c r="AF8" s="75">
        <v>88839</v>
      </c>
      <c r="AG8" s="392">
        <f aca="true" t="shared" si="6" ref="AG8:AG25">AB8</f>
        <v>95416</v>
      </c>
      <c r="AH8" s="75">
        <f>IF(AND(AG8=0,AF8=0),0,IF(OR(AND(AG8&gt;0,AF8&lt;=0),AND(AG8&lt;0,AF8&gt;=0)),"nm",IF(AND(AG8&lt;0,AF8&lt;0),IF(-(AG8/AF8-1)*100&lt;-100,"(&gt;100)",-(AG8/AF8-1)*100),IF((AG8/AF8-1)*100&gt;100,"&gt;100",(AG8/AF8-1)*100))))</f>
        <v>7.403280090951037</v>
      </c>
      <c r="AI8" s="121">
        <f t="shared" si="3"/>
        <v>87169</v>
      </c>
      <c r="AJ8" s="392">
        <f t="shared" si="4"/>
        <v>94347</v>
      </c>
      <c r="AK8" s="121">
        <f>IF(AND(AJ8=0,AI8=0),0,IF(OR(AND(AJ8&gt;0,AI8&lt;=0),AND(AJ8&lt;0,AI8&gt;=0)),"nm",IF(AND(AJ8&lt;0,AI8&lt;0),IF(-(AJ8/AI8-1)*100&lt;-100,"(&gt;100)",-(AJ8/AI8-1)*100),IF((AJ8/AI8-1)*100&gt;100,"&gt;100",(AJ8/AI8-1)*100))))</f>
        <v>8.234578806685855</v>
      </c>
      <c r="AL8" s="18"/>
    </row>
    <row r="9" spans="2:38" ht="15">
      <c r="B9" s="36"/>
      <c r="C9" s="22" t="s">
        <v>111</v>
      </c>
      <c r="D9" s="75">
        <v>10359</v>
      </c>
      <c r="E9" s="75">
        <v>12697</v>
      </c>
      <c r="F9" s="75">
        <v>14916</v>
      </c>
      <c r="G9" s="75">
        <v>18004</v>
      </c>
      <c r="H9" s="75">
        <v>20024</v>
      </c>
      <c r="J9" s="75">
        <v>12198</v>
      </c>
      <c r="K9" s="75">
        <v>12742</v>
      </c>
      <c r="L9" s="75">
        <v>12794</v>
      </c>
      <c r="M9" s="75">
        <v>12697</v>
      </c>
      <c r="N9" s="75">
        <v>13213</v>
      </c>
      <c r="O9" s="75">
        <v>14392</v>
      </c>
      <c r="P9" s="75">
        <v>14431</v>
      </c>
      <c r="Q9" s="75">
        <v>14916</v>
      </c>
      <c r="R9" s="75">
        <v>15619</v>
      </c>
      <c r="S9" s="75">
        <v>17143</v>
      </c>
      <c r="T9" s="75">
        <v>17737</v>
      </c>
      <c r="U9" s="75">
        <v>18004</v>
      </c>
      <c r="V9" s="75">
        <v>18568</v>
      </c>
      <c r="W9" s="75">
        <v>18371</v>
      </c>
      <c r="X9" s="75">
        <v>19308</v>
      </c>
      <c r="Y9" s="75">
        <v>20024</v>
      </c>
      <c r="Z9" s="75">
        <v>20759</v>
      </c>
      <c r="AA9" s="121">
        <v>22227</v>
      </c>
      <c r="AB9" s="122">
        <v>20696</v>
      </c>
      <c r="AC9" s="75">
        <f t="shared" si="0"/>
        <v>-6.8880190758986775</v>
      </c>
      <c r="AD9" s="75">
        <f t="shared" si="1"/>
        <v>7.1887300600787185</v>
      </c>
      <c r="AF9" s="75">
        <v>19308</v>
      </c>
      <c r="AG9" s="392">
        <f t="shared" si="6"/>
        <v>20696</v>
      </c>
      <c r="AH9" s="75">
        <f t="shared" si="2"/>
        <v>7.1887300600787185</v>
      </c>
      <c r="AI9" s="121">
        <f t="shared" si="3"/>
        <v>18371</v>
      </c>
      <c r="AJ9" s="392">
        <f t="shared" si="4"/>
        <v>22227</v>
      </c>
      <c r="AK9" s="121">
        <f t="shared" si="5"/>
        <v>20.98960317892331</v>
      </c>
      <c r="AL9" s="18"/>
    </row>
    <row r="10" spans="3:38" ht="15">
      <c r="C10" s="33" t="s">
        <v>35</v>
      </c>
      <c r="D10" s="75">
        <v>885</v>
      </c>
      <c r="E10" s="75">
        <v>1368</v>
      </c>
      <c r="F10" s="75">
        <v>814</v>
      </c>
      <c r="G10" s="75">
        <v>1222</v>
      </c>
      <c r="H10" s="75">
        <v>914</v>
      </c>
      <c r="J10" s="75">
        <v>663</v>
      </c>
      <c r="K10" s="75">
        <v>1377</v>
      </c>
      <c r="L10" s="75">
        <v>1137</v>
      </c>
      <c r="M10" s="75">
        <v>1368</v>
      </c>
      <c r="N10" s="75">
        <v>1371</v>
      </c>
      <c r="O10" s="75">
        <v>823</v>
      </c>
      <c r="P10" s="75">
        <v>700</v>
      </c>
      <c r="Q10" s="75">
        <v>814</v>
      </c>
      <c r="R10" s="75">
        <v>729</v>
      </c>
      <c r="S10" s="75">
        <v>624</v>
      </c>
      <c r="T10" s="75">
        <v>726</v>
      </c>
      <c r="U10" s="75">
        <v>1222</v>
      </c>
      <c r="V10" s="75">
        <v>767</v>
      </c>
      <c r="W10" s="75">
        <v>746</v>
      </c>
      <c r="X10" s="75">
        <v>742</v>
      </c>
      <c r="Y10" s="75">
        <v>914</v>
      </c>
      <c r="Z10" s="75">
        <v>1415</v>
      </c>
      <c r="AA10" s="121">
        <v>1183</v>
      </c>
      <c r="AB10" s="122">
        <v>928</v>
      </c>
      <c r="AC10" s="75">
        <f t="shared" si="0"/>
        <v>-21.55536770921387</v>
      </c>
      <c r="AD10" s="75">
        <f t="shared" si="1"/>
        <v>25.06738544474394</v>
      </c>
      <c r="AF10" s="75">
        <v>742</v>
      </c>
      <c r="AG10" s="392">
        <f t="shared" si="6"/>
        <v>928</v>
      </c>
      <c r="AH10" s="75">
        <f t="shared" si="2"/>
        <v>25.06738544474394</v>
      </c>
      <c r="AI10" s="121">
        <f t="shared" si="3"/>
        <v>746</v>
      </c>
      <c r="AJ10" s="397">
        <f t="shared" si="4"/>
        <v>1183</v>
      </c>
      <c r="AK10" s="121">
        <f t="shared" si="5"/>
        <v>58.57908847184987</v>
      </c>
      <c r="AL10" s="18"/>
    </row>
    <row r="11" spans="2:37" s="18" customFormat="1" ht="15">
      <c r="B11" s="18" t="s">
        <v>98</v>
      </c>
      <c r="D11" s="17">
        <v>23536</v>
      </c>
      <c r="E11" s="17">
        <v>23625</v>
      </c>
      <c r="F11" s="17">
        <v>23220</v>
      </c>
      <c r="G11" s="17">
        <v>21733</v>
      </c>
      <c r="H11" s="162">
        <v>25730</v>
      </c>
      <c r="I11" s="162"/>
      <c r="J11" s="162">
        <v>25147</v>
      </c>
      <c r="K11" s="162">
        <f>K12+K13+K14+K15</f>
        <v>25414</v>
      </c>
      <c r="L11" s="162">
        <v>25047</v>
      </c>
      <c r="M11" s="162">
        <v>23625</v>
      </c>
      <c r="N11" s="162">
        <v>23195</v>
      </c>
      <c r="O11" s="162">
        <v>23555</v>
      </c>
      <c r="P11" s="162">
        <v>23159</v>
      </c>
      <c r="Q11" s="162">
        <v>23220</v>
      </c>
      <c r="R11" s="162">
        <v>21188</v>
      </c>
      <c r="S11" s="162">
        <v>20217</v>
      </c>
      <c r="T11" s="162">
        <v>23786</v>
      </c>
      <c r="U11" s="162">
        <v>21733</v>
      </c>
      <c r="V11" s="162">
        <v>23408</v>
      </c>
      <c r="W11" s="162">
        <v>21422</v>
      </c>
      <c r="X11" s="162">
        <v>22729</v>
      </c>
      <c r="Y11" s="162">
        <v>25730</v>
      </c>
      <c r="Z11" s="162">
        <v>27187</v>
      </c>
      <c r="AA11" s="17">
        <v>25584</v>
      </c>
      <c r="AB11" s="125">
        <f>SUM(AB12:AB15)</f>
        <v>27084</v>
      </c>
      <c r="AC11" s="162">
        <f t="shared" si="0"/>
        <v>5.863039399624759</v>
      </c>
      <c r="AD11" s="162">
        <f t="shared" si="1"/>
        <v>19.16054379867129</v>
      </c>
      <c r="AE11" s="318"/>
      <c r="AF11" s="162">
        <v>22729</v>
      </c>
      <c r="AG11" s="125">
        <f>SUM(AG12:AG15)</f>
        <v>27084</v>
      </c>
      <c r="AH11" s="17">
        <f t="shared" si="2"/>
        <v>19.16054379867129</v>
      </c>
      <c r="AI11" s="17">
        <f t="shared" si="3"/>
        <v>21422</v>
      </c>
      <c r="AJ11" s="396">
        <f t="shared" si="4"/>
        <v>25584</v>
      </c>
      <c r="AK11" s="17">
        <f t="shared" si="5"/>
        <v>19.428624778265323</v>
      </c>
    </row>
    <row r="12" spans="2:38" ht="15">
      <c r="B12" s="36"/>
      <c r="C12" s="22" t="s">
        <v>109</v>
      </c>
      <c r="D12" s="75">
        <v>15721</v>
      </c>
      <c r="E12" s="75">
        <v>12285</v>
      </c>
      <c r="F12" s="75">
        <v>12946</v>
      </c>
      <c r="G12" s="75">
        <v>12559</v>
      </c>
      <c r="H12" s="121">
        <v>15690</v>
      </c>
      <c r="I12" s="121"/>
      <c r="J12" s="121">
        <v>15579</v>
      </c>
      <c r="K12" s="121">
        <v>14837</v>
      </c>
      <c r="L12" s="121">
        <v>13084</v>
      </c>
      <c r="M12" s="121">
        <v>12285</v>
      </c>
      <c r="N12" s="121">
        <v>12040</v>
      </c>
      <c r="O12" s="121">
        <v>13281</v>
      </c>
      <c r="P12" s="121">
        <v>12427</v>
      </c>
      <c r="Q12" s="121">
        <v>12946</v>
      </c>
      <c r="R12" s="121">
        <v>10801</v>
      </c>
      <c r="S12" s="121">
        <v>10694</v>
      </c>
      <c r="T12" s="121">
        <v>13979</v>
      </c>
      <c r="U12" s="121">
        <v>12559</v>
      </c>
      <c r="V12" s="121">
        <v>14009</v>
      </c>
      <c r="W12" s="121">
        <v>11319</v>
      </c>
      <c r="X12" s="121">
        <v>12694</v>
      </c>
      <c r="Y12" s="121">
        <v>15690</v>
      </c>
      <c r="Z12" s="121">
        <v>16569</v>
      </c>
      <c r="AA12" s="121">
        <v>15897</v>
      </c>
      <c r="AB12" s="122">
        <v>16310</v>
      </c>
      <c r="AC12" s="121">
        <f t="shared" si="0"/>
        <v>2.5979744605900468</v>
      </c>
      <c r="AD12" s="121">
        <f t="shared" si="1"/>
        <v>28.485898849850333</v>
      </c>
      <c r="AE12" s="19"/>
      <c r="AF12" s="121">
        <v>12694</v>
      </c>
      <c r="AG12" s="392">
        <f t="shared" si="6"/>
        <v>16310</v>
      </c>
      <c r="AH12" s="75">
        <f>IF(AND(AG12=0,AF12=0),0,IF(OR(AND(AG12&gt;0,AF12&lt;=0),AND(AG12&lt;0,AF12&gt;=0)),"nm",IF(AND(AG12&lt;0,AF12&lt;0),IF(-(AG12/AF12-1)*100&lt;-100,"(&gt;100)",-(AG12/AF12-1)*100),IF((AG12/AF12-1)*100&gt;100,"&gt;100",(AG12/AF12-1)*100))))</f>
        <v>28.485898849850333</v>
      </c>
      <c r="AI12" s="121">
        <f t="shared" si="3"/>
        <v>11319</v>
      </c>
      <c r="AJ12" s="392">
        <f t="shared" si="4"/>
        <v>15897</v>
      </c>
      <c r="AK12" s="121">
        <f>IF(AND(AJ12=0,AI12=0),0,IF(OR(AND(AJ12&gt;0,AI12&lt;=0),AND(AJ12&lt;0,AI12&gt;=0)),"nm",IF(AND(AJ12&lt;0,AI12&lt;0),IF(-(AJ12/AI12-1)*100&lt;-100,"(&gt;100)",-(AJ12/AI12-1)*100),IF((AJ12/AI12-1)*100&gt;100,"&gt;100",(AJ12/AI12-1)*100))))</f>
        <v>40.44526901669758</v>
      </c>
      <c r="AL12" s="18"/>
    </row>
    <row r="13" spans="2:38" ht="15">
      <c r="B13" s="36"/>
      <c r="C13" s="22" t="s">
        <v>110</v>
      </c>
      <c r="D13" s="75">
        <v>5030</v>
      </c>
      <c r="E13" s="75">
        <v>7932</v>
      </c>
      <c r="F13" s="75">
        <v>7082</v>
      </c>
      <c r="G13" s="75">
        <v>5693</v>
      </c>
      <c r="H13" s="121">
        <v>6283</v>
      </c>
      <c r="I13" s="121"/>
      <c r="J13" s="121">
        <v>6537</v>
      </c>
      <c r="K13" s="121">
        <v>7081</v>
      </c>
      <c r="L13" s="121">
        <v>8001</v>
      </c>
      <c r="M13" s="121">
        <v>7932</v>
      </c>
      <c r="N13" s="121">
        <v>7526</v>
      </c>
      <c r="O13" s="121">
        <v>6942</v>
      </c>
      <c r="P13" s="121">
        <v>6902</v>
      </c>
      <c r="Q13" s="121">
        <v>7082</v>
      </c>
      <c r="R13" s="121">
        <v>6622</v>
      </c>
      <c r="S13" s="121">
        <v>6263</v>
      </c>
      <c r="T13" s="121">
        <v>6202</v>
      </c>
      <c r="U13" s="121">
        <v>5693</v>
      </c>
      <c r="V13" s="121">
        <v>5578</v>
      </c>
      <c r="W13" s="121">
        <v>6227</v>
      </c>
      <c r="X13" s="121">
        <v>5858</v>
      </c>
      <c r="Y13" s="121">
        <v>6283</v>
      </c>
      <c r="Z13" s="121">
        <v>6483</v>
      </c>
      <c r="AA13" s="121">
        <v>5902</v>
      </c>
      <c r="AB13" s="122">
        <v>6495</v>
      </c>
      <c r="AC13" s="121">
        <f t="shared" si="0"/>
        <v>10.047441545238911</v>
      </c>
      <c r="AD13" s="121">
        <f t="shared" si="1"/>
        <v>10.874018436326383</v>
      </c>
      <c r="AE13" s="19"/>
      <c r="AF13" s="121">
        <v>5858</v>
      </c>
      <c r="AG13" s="392">
        <f t="shared" si="6"/>
        <v>6495</v>
      </c>
      <c r="AH13" s="75">
        <f aca="true" t="shared" si="7" ref="AH13:AH25">IF(AND(AG13=0,AF13=0),0,IF(OR(AND(AG13&gt;0,AF13&lt;=0),AND(AG13&lt;0,AF13&gt;=0)),"nm",IF(AND(AG13&lt;0,AF13&lt;0),IF(-(AG13/AF13-1)*100&lt;-100,"(&gt;100)",-(AG13/AF13-1)*100),IF((AG13/AF13-1)*100&gt;100,"&gt;100",(AG13/AF13-1)*100))))</f>
        <v>10.874018436326383</v>
      </c>
      <c r="AI13" s="121">
        <f t="shared" si="3"/>
        <v>6227</v>
      </c>
      <c r="AJ13" s="392">
        <f t="shared" si="4"/>
        <v>5902</v>
      </c>
      <c r="AK13" s="121">
        <f aca="true" t="shared" si="8" ref="AK13:AK25">IF(AND(AJ13=0,AI13=0),0,IF(OR(AND(AJ13&gt;0,AI13&lt;=0),AND(AJ13&lt;0,AI13&gt;=0)),"nm",IF(AND(AJ13&lt;0,AI13&lt;0),IF(-(AJ13/AI13-1)*100&lt;-100,"(&gt;100)",-(AJ13/AI13-1)*100),IF((AJ13/AI13-1)*100&gt;100,"&gt;100",(AJ13/AI13-1)*100))))</f>
        <v>-5.219206680584554</v>
      </c>
      <c r="AL13" s="18"/>
    </row>
    <row r="14" spans="2:38" ht="15">
      <c r="B14" s="36"/>
      <c r="C14" s="22" t="s">
        <v>111</v>
      </c>
      <c r="D14" s="75">
        <v>2211</v>
      </c>
      <c r="E14" s="75">
        <v>3254</v>
      </c>
      <c r="F14" s="75">
        <v>3081</v>
      </c>
      <c r="G14" s="75">
        <v>3143</v>
      </c>
      <c r="H14" s="121">
        <v>3516</v>
      </c>
      <c r="I14" s="121"/>
      <c r="J14" s="121">
        <v>2702</v>
      </c>
      <c r="K14" s="121">
        <v>3046</v>
      </c>
      <c r="L14" s="121">
        <v>3609</v>
      </c>
      <c r="M14" s="121">
        <v>3254</v>
      </c>
      <c r="N14" s="121">
        <v>3477</v>
      </c>
      <c r="O14" s="121">
        <v>3252</v>
      </c>
      <c r="P14" s="121">
        <v>3666</v>
      </c>
      <c r="Q14" s="121">
        <v>3081</v>
      </c>
      <c r="R14" s="121">
        <v>3261</v>
      </c>
      <c r="S14" s="121">
        <v>2929</v>
      </c>
      <c r="T14" s="121">
        <v>3153</v>
      </c>
      <c r="U14" s="121">
        <v>3143</v>
      </c>
      <c r="V14" s="121">
        <v>3451</v>
      </c>
      <c r="W14" s="121">
        <v>3700</v>
      </c>
      <c r="X14" s="121">
        <v>3869</v>
      </c>
      <c r="Y14" s="121">
        <v>3516</v>
      </c>
      <c r="Z14" s="121">
        <v>3953</v>
      </c>
      <c r="AA14" s="121">
        <v>3692</v>
      </c>
      <c r="AB14" s="122">
        <v>4016</v>
      </c>
      <c r="AC14" s="121">
        <f t="shared" si="0"/>
        <v>8.77573131094258</v>
      </c>
      <c r="AD14" s="121">
        <f t="shared" si="1"/>
        <v>3.7994313776169575</v>
      </c>
      <c r="AE14" s="19"/>
      <c r="AF14" s="121">
        <v>3869</v>
      </c>
      <c r="AG14" s="392">
        <f t="shared" si="6"/>
        <v>4016</v>
      </c>
      <c r="AH14" s="75">
        <f>IF(AND(AG14=0,AF14=0),0,IF(OR(AND(AG14&gt;0,AF14&lt;=0),AND(AG14&lt;0,AF14&gt;=0)),"nm",IF(AND(AG14&lt;0,AF14&lt;0),IF(-(AG14/AF14-1)*100&lt;-100,"(&gt;100)",-(AG14/AF14-1)*100),IF((AG14/AF14-1)*100&gt;100,"&gt;100",(AG14/AF14-1)*100))))</f>
        <v>3.7994313776169575</v>
      </c>
      <c r="AI14" s="121">
        <f t="shared" si="3"/>
        <v>3700</v>
      </c>
      <c r="AJ14" s="392">
        <f t="shared" si="4"/>
        <v>3692</v>
      </c>
      <c r="AK14" s="121">
        <f>IF(AND(AJ14=0,AI14=0),0,IF(OR(AND(AJ14&gt;0,AI14&lt;=0),AND(AJ14&lt;0,AI14&gt;=0)),"nm",IF(AND(AJ14&lt;0,AI14&lt;0),IF(-(AJ14/AI14-1)*100&lt;-100,"(&gt;100)",-(AJ14/AI14-1)*100),IF((AJ14/AI14-1)*100&gt;100,"&gt;100",(AJ14/AI14-1)*100))))</f>
        <v>-0.216216216216214</v>
      </c>
      <c r="AL14" s="18"/>
    </row>
    <row r="15" spans="3:38" ht="15">
      <c r="C15" s="33" t="s">
        <v>35</v>
      </c>
      <c r="D15" s="75">
        <v>574</v>
      </c>
      <c r="E15" s="75">
        <v>154</v>
      </c>
      <c r="F15" s="75">
        <v>111</v>
      </c>
      <c r="G15" s="75">
        <v>338</v>
      </c>
      <c r="H15" s="121">
        <v>241</v>
      </c>
      <c r="I15" s="121"/>
      <c r="J15" s="121">
        <v>329</v>
      </c>
      <c r="K15" s="121">
        <v>450</v>
      </c>
      <c r="L15" s="121">
        <v>353</v>
      </c>
      <c r="M15" s="121">
        <v>154</v>
      </c>
      <c r="N15" s="121">
        <v>152</v>
      </c>
      <c r="O15" s="121">
        <v>80</v>
      </c>
      <c r="P15" s="121">
        <v>164</v>
      </c>
      <c r="Q15" s="121">
        <v>111</v>
      </c>
      <c r="R15" s="121">
        <v>504</v>
      </c>
      <c r="S15" s="121">
        <v>331</v>
      </c>
      <c r="T15" s="121">
        <v>452</v>
      </c>
      <c r="U15" s="121">
        <v>338</v>
      </c>
      <c r="V15" s="121">
        <v>370</v>
      </c>
      <c r="W15" s="121">
        <v>176</v>
      </c>
      <c r="X15" s="121">
        <v>308</v>
      </c>
      <c r="Y15" s="121">
        <v>241</v>
      </c>
      <c r="Z15" s="121">
        <v>182</v>
      </c>
      <c r="AA15" s="121">
        <v>93</v>
      </c>
      <c r="AB15" s="122">
        <v>263</v>
      </c>
      <c r="AC15" s="121" t="str">
        <f t="shared" si="0"/>
        <v>&gt;100</v>
      </c>
      <c r="AD15" s="121">
        <f t="shared" si="1"/>
        <v>-14.610389610389607</v>
      </c>
      <c r="AE15" s="19"/>
      <c r="AF15" s="121">
        <v>308</v>
      </c>
      <c r="AG15" s="392">
        <f t="shared" si="6"/>
        <v>263</v>
      </c>
      <c r="AH15" s="75">
        <f t="shared" si="7"/>
        <v>-14.610389610389607</v>
      </c>
      <c r="AI15" s="121">
        <f t="shared" si="3"/>
        <v>176</v>
      </c>
      <c r="AJ15" s="397">
        <f t="shared" si="4"/>
        <v>93</v>
      </c>
      <c r="AK15" s="121">
        <f t="shared" si="8"/>
        <v>-47.15909090909091</v>
      </c>
      <c r="AL15" s="18"/>
    </row>
    <row r="16" spans="2:38" s="24" customFormat="1" ht="14.25" customHeight="1">
      <c r="B16" s="24" t="s">
        <v>99</v>
      </c>
      <c r="D16" s="17">
        <v>28247</v>
      </c>
      <c r="E16" s="17">
        <v>29018</v>
      </c>
      <c r="F16" s="17">
        <v>30022</v>
      </c>
      <c r="G16" s="17">
        <v>40336</v>
      </c>
      <c r="H16" s="17">
        <v>45981</v>
      </c>
      <c r="I16" s="17"/>
      <c r="J16" s="17">
        <v>30615</v>
      </c>
      <c r="K16" s="17">
        <f>K17+K18+K19+K20</f>
        <v>29013</v>
      </c>
      <c r="L16" s="17">
        <v>30523</v>
      </c>
      <c r="M16" s="17">
        <v>29018</v>
      </c>
      <c r="N16" s="17">
        <v>27282</v>
      </c>
      <c r="O16" s="17">
        <v>26104</v>
      </c>
      <c r="P16" s="17">
        <v>28699</v>
      </c>
      <c r="Q16" s="17">
        <v>30022</v>
      </c>
      <c r="R16" s="17">
        <v>29111</v>
      </c>
      <c r="S16" s="17">
        <v>33868</v>
      </c>
      <c r="T16" s="17">
        <v>34019</v>
      </c>
      <c r="U16" s="17">
        <v>40336</v>
      </c>
      <c r="V16" s="17">
        <v>43177</v>
      </c>
      <c r="W16" s="17">
        <v>43603</v>
      </c>
      <c r="X16" s="17">
        <v>48353</v>
      </c>
      <c r="Y16" s="17">
        <v>45981</v>
      </c>
      <c r="Z16" s="17">
        <v>44740</v>
      </c>
      <c r="AA16" s="17">
        <v>49895</v>
      </c>
      <c r="AB16" s="125">
        <f>SUM(AB17:AB20)</f>
        <v>62087</v>
      </c>
      <c r="AC16" s="17">
        <f t="shared" si="0"/>
        <v>24.435314159735455</v>
      </c>
      <c r="AD16" s="17">
        <f t="shared" si="1"/>
        <v>28.403615080760236</v>
      </c>
      <c r="AF16" s="17">
        <v>48353</v>
      </c>
      <c r="AG16" s="125">
        <f>SUM(AG17:AG20)</f>
        <v>62087</v>
      </c>
      <c r="AH16" s="17">
        <f>IF(AND(AG16=0,AF16=0),0,IF(OR(AND(AG16&gt;0,AF16&lt;=0),AND(AG16&lt;0,AF16&gt;=0)),"nm",IF(AND(AG16&lt;0,AF16&lt;0),IF(-(AG16/AF16-1)*100&lt;-100,"(&gt;100)",-(AG16/AF16-1)*100),IF((AG16/AF16-1)*100&gt;100,"&gt;100",(AG16/AF16-1)*100))))</f>
        <v>28.403615080760236</v>
      </c>
      <c r="AI16" s="17">
        <f t="shared" si="3"/>
        <v>43603</v>
      </c>
      <c r="AJ16" s="396">
        <f t="shared" si="4"/>
        <v>49895</v>
      </c>
      <c r="AK16" s="17">
        <f>IF(AND(AJ16=0,AI16=0),0,IF(OR(AND(AJ16&gt;0,AI16&lt;=0),AND(AJ16&lt;0,AI16&gt;=0)),"nm",IF(AND(AJ16&lt;0,AI16&lt;0),IF(-(AJ16/AI16-1)*100&lt;-100,"(&gt;100)",-(AJ16/AI16-1)*100),IF((AJ16/AI16-1)*100&gt;100,"&gt;100",(AJ16/AI16-1)*100))))</f>
        <v>14.430199756897455</v>
      </c>
      <c r="AL16" s="18"/>
    </row>
    <row r="17" spans="2:38" ht="15">
      <c r="B17" s="36"/>
      <c r="C17" s="22" t="s">
        <v>109</v>
      </c>
      <c r="D17" s="75">
        <v>19365</v>
      </c>
      <c r="E17" s="75">
        <v>14912</v>
      </c>
      <c r="F17" s="75">
        <v>16064</v>
      </c>
      <c r="G17" s="75">
        <v>20590</v>
      </c>
      <c r="H17" s="75">
        <v>24124</v>
      </c>
      <c r="J17" s="75">
        <v>19926</v>
      </c>
      <c r="K17" s="75">
        <v>18737</v>
      </c>
      <c r="L17" s="75">
        <v>17371</v>
      </c>
      <c r="M17" s="75">
        <v>14912</v>
      </c>
      <c r="N17" s="75">
        <v>14490</v>
      </c>
      <c r="O17" s="75">
        <v>13185</v>
      </c>
      <c r="P17" s="75">
        <v>15969</v>
      </c>
      <c r="Q17" s="75">
        <v>16064</v>
      </c>
      <c r="R17" s="75">
        <v>15187</v>
      </c>
      <c r="S17" s="75">
        <v>16134</v>
      </c>
      <c r="T17" s="75">
        <v>17149</v>
      </c>
      <c r="U17" s="75">
        <v>20590</v>
      </c>
      <c r="V17" s="75">
        <v>23525</v>
      </c>
      <c r="W17" s="75">
        <v>22021</v>
      </c>
      <c r="X17" s="75">
        <v>24119</v>
      </c>
      <c r="Y17" s="75">
        <v>24124</v>
      </c>
      <c r="Z17" s="75">
        <v>21609</v>
      </c>
      <c r="AA17" s="121">
        <v>23891</v>
      </c>
      <c r="AB17" s="122">
        <v>30143</v>
      </c>
      <c r="AC17" s="75">
        <f t="shared" si="0"/>
        <v>26.168850194633954</v>
      </c>
      <c r="AD17" s="75">
        <f t="shared" si="1"/>
        <v>24.97615987395829</v>
      </c>
      <c r="AF17" s="75">
        <v>24119</v>
      </c>
      <c r="AG17" s="392">
        <f t="shared" si="6"/>
        <v>30143</v>
      </c>
      <c r="AH17" s="75">
        <f>IF(AND(AG17=0,AF17=0),0,IF(OR(AND(AG17&gt;0,AF17&lt;=0),AND(AG17&lt;0,AF17&gt;=0)),"nm",IF(AND(AG17&lt;0,AF17&lt;0),IF(-(AG17/AF17-1)*100&lt;-100,"(&gt;100)",-(AG17/AF17-1)*100),IF((AG17/AF17-1)*100&gt;100,"&gt;100",(AG17/AF17-1)*100))))</f>
        <v>24.97615987395829</v>
      </c>
      <c r="AI17" s="121">
        <f t="shared" si="3"/>
        <v>22021</v>
      </c>
      <c r="AJ17" s="392">
        <f t="shared" si="4"/>
        <v>23891</v>
      </c>
      <c r="AK17" s="121">
        <f>IF(AND(AJ17=0,AI17=0),0,IF(OR(AND(AJ17&gt;0,AI17&lt;=0),AND(AJ17&lt;0,AI17&gt;=0)),"nm",IF(AND(AJ17&lt;0,AI17&lt;0),IF(-(AJ17/AI17-1)*100&lt;-100,"(&gt;100)",-(AJ17/AI17-1)*100),IF((AJ17/AI17-1)*100&gt;100,"&gt;100",(AJ17/AI17-1)*100))))</f>
        <v>8.491894101085329</v>
      </c>
      <c r="AL17" s="18"/>
    </row>
    <row r="18" spans="2:38" ht="15">
      <c r="B18" s="36"/>
      <c r="C18" s="22" t="s">
        <v>110</v>
      </c>
      <c r="D18" s="75">
        <v>2040</v>
      </c>
      <c r="E18" s="75">
        <v>3468</v>
      </c>
      <c r="F18" s="75">
        <v>3255</v>
      </c>
      <c r="G18" s="75">
        <v>3206</v>
      </c>
      <c r="H18" s="75">
        <v>4256</v>
      </c>
      <c r="J18" s="75">
        <v>2607</v>
      </c>
      <c r="K18" s="75">
        <v>2878</v>
      </c>
      <c r="L18" s="75">
        <v>3484</v>
      </c>
      <c r="M18" s="75">
        <v>3468</v>
      </c>
      <c r="N18" s="75">
        <v>3412</v>
      </c>
      <c r="O18" s="75">
        <v>3193</v>
      </c>
      <c r="P18" s="75">
        <v>3244</v>
      </c>
      <c r="Q18" s="75">
        <v>3255</v>
      </c>
      <c r="R18" s="75">
        <v>3218</v>
      </c>
      <c r="S18" s="75">
        <v>2925</v>
      </c>
      <c r="T18" s="75">
        <v>2849</v>
      </c>
      <c r="U18" s="75">
        <v>3206</v>
      </c>
      <c r="V18" s="75">
        <v>3355</v>
      </c>
      <c r="W18" s="75">
        <v>3345</v>
      </c>
      <c r="X18" s="75">
        <v>4422</v>
      </c>
      <c r="Y18" s="75">
        <v>4256</v>
      </c>
      <c r="Z18" s="75">
        <v>5053</v>
      </c>
      <c r="AA18" s="121">
        <v>4666</v>
      </c>
      <c r="AB18" s="122">
        <v>5991</v>
      </c>
      <c r="AC18" s="75">
        <f t="shared" si="0"/>
        <v>28.39691384483498</v>
      </c>
      <c r="AD18" s="75">
        <f t="shared" si="1"/>
        <v>35.48168249660788</v>
      </c>
      <c r="AF18" s="75">
        <v>4422</v>
      </c>
      <c r="AG18" s="392">
        <f t="shared" si="6"/>
        <v>5991</v>
      </c>
      <c r="AH18" s="75">
        <f t="shared" si="7"/>
        <v>35.48168249660788</v>
      </c>
      <c r="AI18" s="121">
        <f t="shared" si="3"/>
        <v>3345</v>
      </c>
      <c r="AJ18" s="392">
        <f t="shared" si="4"/>
        <v>4666</v>
      </c>
      <c r="AK18" s="121">
        <f t="shared" si="8"/>
        <v>39.491778774289976</v>
      </c>
      <c r="AL18" s="18"/>
    </row>
    <row r="19" spans="2:38" ht="15">
      <c r="B19" s="36"/>
      <c r="C19" s="22" t="s">
        <v>111</v>
      </c>
      <c r="D19" s="75">
        <v>5982</v>
      </c>
      <c r="E19" s="75">
        <v>8846</v>
      </c>
      <c r="F19" s="75">
        <v>9777</v>
      </c>
      <c r="G19" s="75">
        <v>13494</v>
      </c>
      <c r="H19" s="75">
        <v>15332</v>
      </c>
      <c r="J19" s="75">
        <v>7309</v>
      </c>
      <c r="K19" s="75">
        <v>6853</v>
      </c>
      <c r="L19" s="75">
        <v>8231</v>
      </c>
      <c r="M19" s="75">
        <v>8846</v>
      </c>
      <c r="N19" s="75">
        <v>7253</v>
      </c>
      <c r="O19" s="75">
        <v>7053</v>
      </c>
      <c r="P19" s="75">
        <v>7815</v>
      </c>
      <c r="Q19" s="75">
        <v>9777</v>
      </c>
      <c r="R19" s="75">
        <v>8965</v>
      </c>
      <c r="S19" s="75">
        <v>12767</v>
      </c>
      <c r="T19" s="75">
        <v>12813</v>
      </c>
      <c r="U19" s="75">
        <v>13494</v>
      </c>
      <c r="V19" s="75">
        <v>12929</v>
      </c>
      <c r="W19" s="75">
        <v>13629</v>
      </c>
      <c r="X19" s="75">
        <v>15620</v>
      </c>
      <c r="Y19" s="75">
        <v>15332</v>
      </c>
      <c r="Z19" s="75">
        <v>14685</v>
      </c>
      <c r="AA19" s="121">
        <v>16319</v>
      </c>
      <c r="AB19" s="122">
        <v>17644</v>
      </c>
      <c r="AC19" s="75">
        <f t="shared" si="0"/>
        <v>8.119370059439923</v>
      </c>
      <c r="AD19" s="75">
        <f t="shared" si="1"/>
        <v>12.957746478873243</v>
      </c>
      <c r="AF19" s="75">
        <v>15620</v>
      </c>
      <c r="AG19" s="392">
        <f t="shared" si="6"/>
        <v>17644</v>
      </c>
      <c r="AH19" s="75">
        <f t="shared" si="7"/>
        <v>12.957746478873243</v>
      </c>
      <c r="AI19" s="121">
        <f t="shared" si="3"/>
        <v>13629</v>
      </c>
      <c r="AJ19" s="392">
        <f t="shared" si="4"/>
        <v>16319</v>
      </c>
      <c r="AK19" s="121">
        <f t="shared" si="8"/>
        <v>19.73732482207058</v>
      </c>
      <c r="AL19" s="18"/>
    </row>
    <row r="20" spans="3:38" ht="15">
      <c r="C20" s="33" t="s">
        <v>35</v>
      </c>
      <c r="D20" s="75">
        <v>860</v>
      </c>
      <c r="E20" s="75">
        <v>1792</v>
      </c>
      <c r="F20" s="75">
        <v>926</v>
      </c>
      <c r="G20" s="75">
        <v>3046</v>
      </c>
      <c r="H20" s="75">
        <v>2269</v>
      </c>
      <c r="J20" s="75">
        <v>773</v>
      </c>
      <c r="K20" s="75">
        <v>545</v>
      </c>
      <c r="L20" s="75">
        <v>1437</v>
      </c>
      <c r="M20" s="75">
        <v>1792</v>
      </c>
      <c r="N20" s="75">
        <v>2127</v>
      </c>
      <c r="O20" s="75">
        <v>2673</v>
      </c>
      <c r="P20" s="75">
        <v>1671</v>
      </c>
      <c r="Q20" s="75">
        <v>926</v>
      </c>
      <c r="R20" s="75">
        <v>1741</v>
      </c>
      <c r="S20" s="75">
        <v>2042</v>
      </c>
      <c r="T20" s="75">
        <v>1208</v>
      </c>
      <c r="U20" s="75">
        <v>3046</v>
      </c>
      <c r="V20" s="75">
        <v>3368</v>
      </c>
      <c r="W20" s="75">
        <v>4608</v>
      </c>
      <c r="X20" s="75">
        <v>4192</v>
      </c>
      <c r="Y20" s="75">
        <v>2269</v>
      </c>
      <c r="Z20" s="75">
        <v>3393</v>
      </c>
      <c r="AA20" s="121">
        <v>5019</v>
      </c>
      <c r="AB20" s="122">
        <v>8309</v>
      </c>
      <c r="AC20" s="75">
        <f t="shared" si="0"/>
        <v>65.55090655509066</v>
      </c>
      <c r="AD20" s="75">
        <f t="shared" si="1"/>
        <v>98.21087786259541</v>
      </c>
      <c r="AF20" s="75">
        <v>4192</v>
      </c>
      <c r="AG20" s="392">
        <f t="shared" si="6"/>
        <v>8309</v>
      </c>
      <c r="AH20" s="75">
        <f t="shared" si="7"/>
        <v>98.21087786259541</v>
      </c>
      <c r="AI20" s="121">
        <f t="shared" si="3"/>
        <v>4608</v>
      </c>
      <c r="AJ20" s="392">
        <f t="shared" si="4"/>
        <v>5019</v>
      </c>
      <c r="AK20" s="121">
        <f t="shared" si="8"/>
        <v>8.919270833333325</v>
      </c>
      <c r="AL20" s="18"/>
    </row>
    <row r="21" spans="2:37" s="18" customFormat="1" ht="15">
      <c r="B21" s="18" t="s">
        <v>35</v>
      </c>
      <c r="D21" s="17">
        <v>24118</v>
      </c>
      <c r="E21" s="17">
        <v>26947</v>
      </c>
      <c r="F21" s="17">
        <v>28222</v>
      </c>
      <c r="G21" s="17">
        <v>40285</v>
      </c>
      <c r="H21" s="162">
        <v>40196</v>
      </c>
      <c r="I21" s="162"/>
      <c r="J21" s="162">
        <v>25700</v>
      </c>
      <c r="K21" s="162">
        <f>K22+K23+K24+K25</f>
        <v>25191</v>
      </c>
      <c r="L21" s="162">
        <v>25140</v>
      </c>
      <c r="M21" s="162">
        <v>26947</v>
      </c>
      <c r="N21" s="162">
        <v>26335</v>
      </c>
      <c r="O21" s="162">
        <v>29061</v>
      </c>
      <c r="P21" s="162">
        <v>27681</v>
      </c>
      <c r="Q21" s="162">
        <v>28222</v>
      </c>
      <c r="R21" s="162">
        <v>33828</v>
      </c>
      <c r="S21" s="162">
        <v>36728</v>
      </c>
      <c r="T21" s="162">
        <v>40996</v>
      </c>
      <c r="U21" s="162">
        <v>40285</v>
      </c>
      <c r="V21" s="162">
        <v>38834</v>
      </c>
      <c r="W21" s="162">
        <v>41450</v>
      </c>
      <c r="X21" s="162">
        <v>39897</v>
      </c>
      <c r="Y21" s="162">
        <v>40196</v>
      </c>
      <c r="Z21" s="162">
        <v>44593</v>
      </c>
      <c r="AA21" s="17">
        <v>46971</v>
      </c>
      <c r="AB21" s="125">
        <f>SUM(AB22:AB25)</f>
        <v>45016</v>
      </c>
      <c r="AC21" s="162">
        <f t="shared" si="0"/>
        <v>-4.162142598624685</v>
      </c>
      <c r="AD21" s="162">
        <f t="shared" si="1"/>
        <v>12.83053863699024</v>
      </c>
      <c r="AE21" s="318"/>
      <c r="AF21" s="162">
        <v>39897</v>
      </c>
      <c r="AG21" s="125">
        <f>SUM(AG22:AG25)</f>
        <v>45016</v>
      </c>
      <c r="AH21" s="17">
        <f t="shared" si="7"/>
        <v>12.83053863699024</v>
      </c>
      <c r="AI21" s="17">
        <f t="shared" si="3"/>
        <v>41450</v>
      </c>
      <c r="AJ21" s="396">
        <f t="shared" si="4"/>
        <v>46971</v>
      </c>
      <c r="AK21" s="17">
        <f t="shared" si="8"/>
        <v>13.319662243667075</v>
      </c>
    </row>
    <row r="22" spans="2:38" ht="15">
      <c r="B22" s="36"/>
      <c r="C22" s="22" t="s">
        <v>109</v>
      </c>
      <c r="D22" s="75">
        <v>20043</v>
      </c>
      <c r="E22" s="75">
        <v>20441</v>
      </c>
      <c r="F22" s="75">
        <v>22289</v>
      </c>
      <c r="G22" s="75">
        <v>32072</v>
      </c>
      <c r="H22" s="121">
        <v>32644</v>
      </c>
      <c r="I22" s="121"/>
      <c r="J22" s="121">
        <v>20693</v>
      </c>
      <c r="K22" s="121">
        <v>19836</v>
      </c>
      <c r="L22" s="121">
        <v>19438</v>
      </c>
      <c r="M22" s="121">
        <v>20441</v>
      </c>
      <c r="N22" s="121">
        <v>19405</v>
      </c>
      <c r="O22" s="121">
        <v>22636</v>
      </c>
      <c r="P22" s="121">
        <v>21725</v>
      </c>
      <c r="Q22" s="121">
        <v>22289</v>
      </c>
      <c r="R22" s="121">
        <v>27755</v>
      </c>
      <c r="S22" s="121">
        <v>29801</v>
      </c>
      <c r="T22" s="121">
        <v>31625</v>
      </c>
      <c r="U22" s="121">
        <v>32072</v>
      </c>
      <c r="V22" s="121">
        <v>31025</v>
      </c>
      <c r="W22" s="121">
        <v>34513</v>
      </c>
      <c r="X22" s="121">
        <v>32589</v>
      </c>
      <c r="Y22" s="121">
        <v>32644</v>
      </c>
      <c r="Z22" s="121">
        <v>36135</v>
      </c>
      <c r="AA22" s="121">
        <v>37379</v>
      </c>
      <c r="AB22" s="122">
        <v>35917</v>
      </c>
      <c r="AC22" s="121">
        <f t="shared" si="0"/>
        <v>-3.911287086331894</v>
      </c>
      <c r="AD22" s="121">
        <f t="shared" si="1"/>
        <v>10.212034735647002</v>
      </c>
      <c r="AE22" s="19"/>
      <c r="AF22" s="121">
        <v>32589</v>
      </c>
      <c r="AG22" s="392">
        <f t="shared" si="6"/>
        <v>35917</v>
      </c>
      <c r="AH22" s="75">
        <f t="shared" si="7"/>
        <v>10.212034735647002</v>
      </c>
      <c r="AI22" s="121">
        <f t="shared" si="3"/>
        <v>34513</v>
      </c>
      <c r="AJ22" s="392">
        <f t="shared" si="4"/>
        <v>37379</v>
      </c>
      <c r="AK22" s="121">
        <f t="shared" si="8"/>
        <v>8.304117289137425</v>
      </c>
      <c r="AL22" s="18"/>
    </row>
    <row r="23" spans="2:38" ht="15">
      <c r="B23" s="36"/>
      <c r="C23" s="22" t="s">
        <v>110</v>
      </c>
      <c r="D23" s="75">
        <v>1231</v>
      </c>
      <c r="E23" s="75">
        <v>2191</v>
      </c>
      <c r="F23" s="75">
        <v>2035</v>
      </c>
      <c r="G23" s="75">
        <v>2350</v>
      </c>
      <c r="H23" s="121">
        <v>2412</v>
      </c>
      <c r="I23" s="121"/>
      <c r="J23" s="121">
        <v>1441</v>
      </c>
      <c r="K23" s="121">
        <v>1615</v>
      </c>
      <c r="L23" s="121">
        <v>1882</v>
      </c>
      <c r="M23" s="121">
        <v>2191</v>
      </c>
      <c r="N23" s="121">
        <v>2124</v>
      </c>
      <c r="O23" s="121">
        <v>1981</v>
      </c>
      <c r="P23" s="121">
        <v>2286</v>
      </c>
      <c r="Q23" s="121">
        <v>2035</v>
      </c>
      <c r="R23" s="121">
        <v>1861</v>
      </c>
      <c r="S23" s="121">
        <v>2041</v>
      </c>
      <c r="T23" s="121">
        <v>2391</v>
      </c>
      <c r="U23" s="121">
        <v>2350</v>
      </c>
      <c r="V23" s="121">
        <v>2127</v>
      </c>
      <c r="W23" s="121">
        <v>2209</v>
      </c>
      <c r="X23" s="121">
        <v>2022</v>
      </c>
      <c r="Y23" s="121">
        <v>2412</v>
      </c>
      <c r="Z23" s="121">
        <v>3006</v>
      </c>
      <c r="AA23" s="121">
        <v>2900</v>
      </c>
      <c r="AB23" s="122">
        <v>2879</v>
      </c>
      <c r="AC23" s="121">
        <f t="shared" si="0"/>
        <v>-0.7241379310344853</v>
      </c>
      <c r="AD23" s="121">
        <f t="shared" si="1"/>
        <v>42.3837784371909</v>
      </c>
      <c r="AE23" s="19"/>
      <c r="AF23" s="121">
        <v>2022</v>
      </c>
      <c r="AG23" s="392">
        <f t="shared" si="6"/>
        <v>2879</v>
      </c>
      <c r="AH23" s="75">
        <f t="shared" si="7"/>
        <v>42.3837784371909</v>
      </c>
      <c r="AI23" s="121">
        <f t="shared" si="3"/>
        <v>2209</v>
      </c>
      <c r="AJ23" s="392">
        <f t="shared" si="4"/>
        <v>2900</v>
      </c>
      <c r="AK23" s="121">
        <f t="shared" si="8"/>
        <v>31.28112267994567</v>
      </c>
      <c r="AL23" s="18"/>
    </row>
    <row r="24" spans="2:38" ht="15">
      <c r="B24" s="36"/>
      <c r="C24" s="22" t="s">
        <v>111</v>
      </c>
      <c r="D24" s="75">
        <v>2178</v>
      </c>
      <c r="E24" s="75">
        <v>2908</v>
      </c>
      <c r="F24" s="75">
        <v>2341</v>
      </c>
      <c r="G24" s="75">
        <v>3504</v>
      </c>
      <c r="H24" s="121">
        <v>3969</v>
      </c>
      <c r="I24" s="121"/>
      <c r="J24" s="121">
        <v>2295</v>
      </c>
      <c r="K24" s="121">
        <v>2218</v>
      </c>
      <c r="L24" s="121">
        <v>2369</v>
      </c>
      <c r="M24" s="121">
        <v>2908</v>
      </c>
      <c r="N24" s="121">
        <v>2485</v>
      </c>
      <c r="O24" s="121">
        <v>2499</v>
      </c>
      <c r="P24" s="121">
        <v>2197</v>
      </c>
      <c r="Q24" s="121">
        <v>2341</v>
      </c>
      <c r="R24" s="121">
        <v>2586</v>
      </c>
      <c r="S24" s="121">
        <v>2917</v>
      </c>
      <c r="T24" s="121">
        <v>4340</v>
      </c>
      <c r="U24" s="121">
        <v>3504</v>
      </c>
      <c r="V24" s="121">
        <v>3171</v>
      </c>
      <c r="W24" s="121">
        <v>3463</v>
      </c>
      <c r="X24" s="121">
        <v>3486</v>
      </c>
      <c r="Y24" s="121">
        <v>3969</v>
      </c>
      <c r="Z24" s="121">
        <v>4436</v>
      </c>
      <c r="AA24" s="121">
        <v>5330</v>
      </c>
      <c r="AB24" s="122">
        <v>4755</v>
      </c>
      <c r="AC24" s="121">
        <f t="shared" si="0"/>
        <v>-10.787992495309574</v>
      </c>
      <c r="AD24" s="121">
        <f t="shared" si="1"/>
        <v>36.40275387263338</v>
      </c>
      <c r="AE24" s="19"/>
      <c r="AF24" s="121">
        <v>3486</v>
      </c>
      <c r="AG24" s="392">
        <f t="shared" si="6"/>
        <v>4755</v>
      </c>
      <c r="AH24" s="75">
        <f t="shared" si="7"/>
        <v>36.40275387263338</v>
      </c>
      <c r="AI24" s="121">
        <f t="shared" si="3"/>
        <v>3463</v>
      </c>
      <c r="AJ24" s="392">
        <f t="shared" si="4"/>
        <v>5330</v>
      </c>
      <c r="AK24" s="121">
        <f t="shared" si="8"/>
        <v>53.91279237655213</v>
      </c>
      <c r="AL24" s="18"/>
    </row>
    <row r="25" spans="3:38" ht="15">
      <c r="C25" s="33" t="s">
        <v>35</v>
      </c>
      <c r="D25" s="75">
        <v>666</v>
      </c>
      <c r="E25" s="75">
        <v>1407</v>
      </c>
      <c r="F25" s="75">
        <v>1557</v>
      </c>
      <c r="G25" s="75">
        <v>2359</v>
      </c>
      <c r="H25" s="121">
        <v>1171</v>
      </c>
      <c r="I25" s="121"/>
      <c r="J25" s="121">
        <v>1271</v>
      </c>
      <c r="K25" s="121">
        <v>1522</v>
      </c>
      <c r="L25" s="121">
        <v>1451</v>
      </c>
      <c r="M25" s="121">
        <v>1407</v>
      </c>
      <c r="N25" s="121">
        <v>2321</v>
      </c>
      <c r="O25" s="121">
        <v>1945</v>
      </c>
      <c r="P25" s="121">
        <v>1473</v>
      </c>
      <c r="Q25" s="121">
        <v>1557</v>
      </c>
      <c r="R25" s="121">
        <v>1626</v>
      </c>
      <c r="S25" s="121">
        <v>1969</v>
      </c>
      <c r="T25" s="121">
        <v>2640</v>
      </c>
      <c r="U25" s="121">
        <v>2359</v>
      </c>
      <c r="V25" s="121">
        <v>2511</v>
      </c>
      <c r="W25" s="121">
        <v>1265</v>
      </c>
      <c r="X25" s="121">
        <v>1800</v>
      </c>
      <c r="Y25" s="121">
        <v>1171</v>
      </c>
      <c r="Z25" s="121">
        <v>1016</v>
      </c>
      <c r="AA25" s="121">
        <v>1362</v>
      </c>
      <c r="AB25" s="122">
        <v>1465</v>
      </c>
      <c r="AC25" s="121">
        <f t="shared" si="0"/>
        <v>7.562408223201178</v>
      </c>
      <c r="AD25" s="121">
        <f t="shared" si="1"/>
        <v>-18.61111111111111</v>
      </c>
      <c r="AE25" s="19"/>
      <c r="AF25" s="121">
        <v>1800</v>
      </c>
      <c r="AG25" s="392">
        <f t="shared" si="6"/>
        <v>1465</v>
      </c>
      <c r="AH25" s="75">
        <f t="shared" si="7"/>
        <v>-18.61111111111111</v>
      </c>
      <c r="AI25" s="121">
        <f t="shared" si="3"/>
        <v>1265</v>
      </c>
      <c r="AJ25" s="392">
        <f t="shared" si="4"/>
        <v>1362</v>
      </c>
      <c r="AK25" s="121">
        <f t="shared" si="8"/>
        <v>7.66798418972332</v>
      </c>
      <c r="AL25" s="18"/>
    </row>
    <row r="26" spans="3:33" ht="14.25">
      <c r="C26" s="22"/>
      <c r="D26" s="75"/>
      <c r="H26" s="121"/>
      <c r="I26" s="121"/>
      <c r="J26" s="121"/>
      <c r="K26" s="121"/>
      <c r="L26" s="121"/>
      <c r="M26" s="121"/>
      <c r="N26" s="121"/>
      <c r="O26" s="121"/>
      <c r="P26" s="121"/>
      <c r="Q26" s="121"/>
      <c r="R26" s="121"/>
      <c r="S26" s="121"/>
      <c r="T26" s="121"/>
      <c r="U26" s="121"/>
      <c r="V26" s="121"/>
      <c r="W26" s="121"/>
      <c r="X26" s="121"/>
      <c r="Y26" s="121"/>
      <c r="Z26" s="121"/>
      <c r="AA26" s="121"/>
      <c r="AB26" s="122"/>
      <c r="AC26" s="121"/>
      <c r="AD26" s="121"/>
      <c r="AE26" s="19"/>
      <c r="AF26" s="121"/>
      <c r="AG26" s="122"/>
    </row>
    <row r="27" spans="26:33" ht="14.25">
      <c r="Z27" s="355"/>
      <c r="AA27" s="355"/>
      <c r="AB27" s="489"/>
      <c r="AG27" s="122"/>
    </row>
    <row r="28" spans="26:33" ht="14.25">
      <c r="Z28" s="355"/>
      <c r="AA28" s="355"/>
      <c r="AB28" s="489"/>
      <c r="AG28" s="352"/>
    </row>
    <row r="29" spans="26:33" ht="14.25">
      <c r="Z29" s="355"/>
      <c r="AA29" s="355"/>
      <c r="AB29" s="489"/>
      <c r="AG29" s="352"/>
    </row>
    <row r="30" ht="14.25">
      <c r="AG30" s="352"/>
    </row>
    <row r="31" ht="14.25">
      <c r="AG31" s="352"/>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78" r:id="rId1"/>
  <headerFooter alignWithMargins="0">
    <oddFooter>&amp;L&amp;8&amp;Z&amp;F&amp;A&amp;R&amp;8&amp;D&amp;T</oddFooter>
  </headerFooter>
  <ignoredErrors>
    <ignoredError sqref="AG11:AG21" formula="1"/>
  </ignoredErrors>
</worksheet>
</file>

<file path=xl/worksheets/sheet11.xml><?xml version="1.0" encoding="utf-8"?>
<worksheet xmlns="http://schemas.openxmlformats.org/spreadsheetml/2006/main" xmlns:r="http://schemas.openxmlformats.org/officeDocument/2006/relationships">
  <sheetPr>
    <tabColor indexed="47"/>
  </sheetPr>
  <dimension ref="A1:AL30"/>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H23" sqref="AH23"/>
    </sheetView>
  </sheetViews>
  <sheetFormatPr defaultColWidth="9.140625" defaultRowHeight="12.75" outlineLevelCol="1"/>
  <cols>
    <col min="1" max="1" width="3.00390625" style="22" customWidth="1"/>
    <col min="2" max="2" width="5.7109375" style="22" customWidth="1"/>
    <col min="3" max="3" width="39.28125" style="10" customWidth="1"/>
    <col min="4" max="4" width="8.7109375" style="76" hidden="1" customWidth="1" outlineLevel="1"/>
    <col min="5" max="8" width="8.7109375" style="75" hidden="1" customWidth="1" outlineLevel="1"/>
    <col min="9" max="9" width="2.28125" style="75" hidden="1" customWidth="1" outlineLevel="1"/>
    <col min="10" max="17" width="8.7109375" style="75" hidden="1" customWidth="1" outlineLevel="1"/>
    <col min="18" max="19" width="8.7109375" style="75" hidden="1" customWidth="1" outlineLevel="1" collapsed="1"/>
    <col min="20" max="21" width="8.7109375" style="75" hidden="1" customWidth="1" outlineLevel="1"/>
    <col min="22" max="22" width="8.7109375" style="75" customWidth="1" collapsed="1"/>
    <col min="23" max="27" width="8.7109375" style="75" customWidth="1"/>
    <col min="28" max="28" width="8.7109375" style="119" customWidth="1"/>
    <col min="29" max="30" width="8.7109375" style="75" customWidth="1"/>
    <col min="31" max="31" width="2.421875" style="21" customWidth="1"/>
    <col min="32" max="32" width="8.7109375" style="75" customWidth="1"/>
    <col min="33" max="33" width="8.8515625" style="119" customWidth="1"/>
    <col min="34" max="34" width="8.7109375" style="75" customWidth="1"/>
    <col min="35" max="35" width="8.7109375" style="121" hidden="1" customWidth="1"/>
    <col min="36" max="36" width="8.8515625" style="122" hidden="1" customWidth="1"/>
    <col min="37" max="37" width="8.7109375" style="121" hidden="1" customWidth="1"/>
    <col min="38" max="16384" width="9.140625" style="22" customWidth="1"/>
  </cols>
  <sheetData>
    <row r="1" spans="1:37" s="42" customFormat="1" ht="20.25">
      <c r="A1" s="41" t="s">
        <v>204</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+'9.Deposits'!AC2</f>
        <v>3Q13
vs 
2Q13</v>
      </c>
      <c r="AD2" s="285" t="str">
        <f>+'9.Deposits'!AD2</f>
        <v>3Q13
vs 
3Q12</v>
      </c>
      <c r="AF2" s="74" t="s">
        <v>442</v>
      </c>
      <c r="AG2" s="74" t="s">
        <v>443</v>
      </c>
      <c r="AH2" s="285" t="s">
        <v>444</v>
      </c>
      <c r="AI2" s="285" t="str">
        <f>+'9.Deposits'!AI2</f>
        <v>1H12</v>
      </c>
      <c r="AJ2" s="285" t="str">
        <f>+'9.Deposits'!AJ2</f>
        <v>1H13</v>
      </c>
      <c r="AK2" s="285" t="str">
        <f>+'9.Deposits'!AK2</f>
        <v>1H13
vs 
1H12</v>
      </c>
    </row>
    <row r="3" spans="1:37" s="18" customFormat="1" ht="15">
      <c r="A3" s="7"/>
      <c r="D3" s="17"/>
      <c r="E3" s="17"/>
      <c r="F3" s="17"/>
      <c r="G3" s="17"/>
      <c r="H3" s="17"/>
      <c r="I3" s="17"/>
      <c r="J3" s="17"/>
      <c r="K3" s="17"/>
      <c r="L3" s="17"/>
      <c r="M3" s="17"/>
      <c r="N3" s="17"/>
      <c r="O3" s="17"/>
      <c r="P3" s="17"/>
      <c r="Q3" s="17"/>
      <c r="R3" s="17"/>
      <c r="S3" s="17"/>
      <c r="T3" s="17"/>
      <c r="U3" s="17"/>
      <c r="V3" s="17"/>
      <c r="W3" s="17"/>
      <c r="X3" s="17"/>
      <c r="Y3" s="17"/>
      <c r="Z3" s="17"/>
      <c r="AA3" s="17"/>
      <c r="AB3" s="125"/>
      <c r="AC3" s="17"/>
      <c r="AD3" s="17"/>
      <c r="AE3" s="15"/>
      <c r="AF3" s="17"/>
      <c r="AG3" s="125"/>
      <c r="AH3" s="17"/>
      <c r="AI3" s="17"/>
      <c r="AJ3" s="125"/>
      <c r="AK3" s="17"/>
    </row>
    <row r="4" spans="1:36" ht="15">
      <c r="A4" s="46" t="s">
        <v>222</v>
      </c>
      <c r="H4" s="121"/>
      <c r="Z4" s="355"/>
      <c r="AA4" s="355"/>
      <c r="AB4" s="489"/>
      <c r="AG4" s="489"/>
      <c r="AJ4" s="461"/>
    </row>
    <row r="5" spans="1:37" s="62" customFormat="1" ht="15">
      <c r="A5" s="62" t="s">
        <v>203</v>
      </c>
      <c r="D5" s="134">
        <v>1.5</v>
      </c>
      <c r="E5" s="134">
        <v>2.9</v>
      </c>
      <c r="F5" s="134">
        <v>1.9</v>
      </c>
      <c r="G5" s="134">
        <v>1.3</v>
      </c>
      <c r="H5" s="134">
        <v>1.2</v>
      </c>
      <c r="I5" s="134"/>
      <c r="J5" s="134">
        <v>2</v>
      </c>
      <c r="K5" s="134">
        <v>2.8</v>
      </c>
      <c r="L5" s="134">
        <v>2.6</v>
      </c>
      <c r="M5" s="134">
        <v>2.9</v>
      </c>
      <c r="N5" s="134">
        <v>2.7</v>
      </c>
      <c r="O5" s="134">
        <v>2.3</v>
      </c>
      <c r="P5" s="134">
        <v>2.1</v>
      </c>
      <c r="Q5" s="134">
        <v>1.9</v>
      </c>
      <c r="R5" s="134">
        <v>1.8</v>
      </c>
      <c r="S5" s="134">
        <v>1.5</v>
      </c>
      <c r="T5" s="134">
        <v>1.3</v>
      </c>
      <c r="U5" s="134">
        <v>1.3</v>
      </c>
      <c r="V5" s="134">
        <v>1.3</v>
      </c>
      <c r="W5" s="134">
        <v>1.3</v>
      </c>
      <c r="X5" s="134">
        <v>1.3</v>
      </c>
      <c r="Y5" s="134">
        <v>1.2</v>
      </c>
      <c r="Z5" s="134">
        <v>1.2</v>
      </c>
      <c r="AA5" s="134">
        <v>1.2</v>
      </c>
      <c r="AB5" s="578">
        <v>1.2</v>
      </c>
      <c r="AC5" s="329">
        <f>AB5-AA5</f>
        <v>0</v>
      </c>
      <c r="AD5" s="329">
        <f>AB5-X5</f>
        <v>-0.10000000000000009</v>
      </c>
      <c r="AE5" s="330"/>
      <c r="AF5" s="329">
        <v>1.3</v>
      </c>
      <c r="AG5" s="578">
        <v>1.2</v>
      </c>
      <c r="AH5" s="134">
        <f>AG5-AF5</f>
        <v>-0.10000000000000009</v>
      </c>
      <c r="AI5" s="329">
        <f>W5</f>
        <v>1.3</v>
      </c>
      <c r="AJ5" s="400">
        <f>AA5</f>
        <v>1.2</v>
      </c>
      <c r="AK5" s="134">
        <f>AJ5-AI5</f>
        <v>-0.10000000000000009</v>
      </c>
    </row>
    <row r="6" spans="1:38" s="60" customFormat="1" ht="15">
      <c r="A6" s="63" t="s">
        <v>82</v>
      </c>
      <c r="D6" s="84"/>
      <c r="E6" s="84"/>
      <c r="F6" s="84"/>
      <c r="G6" s="84"/>
      <c r="H6" s="377"/>
      <c r="I6" s="84"/>
      <c r="J6" s="84"/>
      <c r="K6" s="84"/>
      <c r="L6" s="84"/>
      <c r="M6" s="84"/>
      <c r="N6" s="84"/>
      <c r="O6" s="84"/>
      <c r="P6" s="84"/>
      <c r="Q6" s="84"/>
      <c r="R6" s="84"/>
      <c r="S6" s="84"/>
      <c r="T6" s="84"/>
      <c r="U6" s="84"/>
      <c r="V6" s="84"/>
      <c r="W6" s="84"/>
      <c r="X6" s="84"/>
      <c r="Y6" s="84"/>
      <c r="Z6" s="377"/>
      <c r="AA6" s="377"/>
      <c r="AB6" s="579"/>
      <c r="AC6" s="378"/>
      <c r="AD6" s="378"/>
      <c r="AE6" s="61"/>
      <c r="AF6" s="84"/>
      <c r="AG6" s="579"/>
      <c r="AH6" s="84"/>
      <c r="AI6" s="377"/>
      <c r="AJ6" s="401"/>
      <c r="AK6" s="377"/>
      <c r="AL6" s="62"/>
    </row>
    <row r="7" spans="2:38" s="60" customFormat="1" ht="15">
      <c r="B7" s="22" t="s">
        <v>376</v>
      </c>
      <c r="C7" s="61"/>
      <c r="D7" s="84">
        <v>1.2</v>
      </c>
      <c r="E7" s="84">
        <v>1.2</v>
      </c>
      <c r="F7" s="84">
        <v>0.6</v>
      </c>
      <c r="G7" s="84">
        <v>0.6</v>
      </c>
      <c r="H7" s="377">
        <v>0.5</v>
      </c>
      <c r="I7" s="84"/>
      <c r="J7" s="84">
        <v>1.5</v>
      </c>
      <c r="K7" s="84">
        <v>1.7</v>
      </c>
      <c r="L7" s="84">
        <v>1.5</v>
      </c>
      <c r="M7" s="84">
        <v>1.2</v>
      </c>
      <c r="N7" s="84">
        <v>1.1</v>
      </c>
      <c r="O7" s="84">
        <v>0.8</v>
      </c>
      <c r="P7" s="84">
        <v>0.8</v>
      </c>
      <c r="Q7" s="84">
        <v>0.6</v>
      </c>
      <c r="R7" s="84">
        <v>0.6</v>
      </c>
      <c r="S7" s="84">
        <v>0.6</v>
      </c>
      <c r="T7" s="84">
        <v>0.5</v>
      </c>
      <c r="U7" s="84">
        <v>0.6</v>
      </c>
      <c r="V7" s="84">
        <v>0.5</v>
      </c>
      <c r="W7" s="84">
        <v>0.5</v>
      </c>
      <c r="X7" s="84">
        <v>0.5</v>
      </c>
      <c r="Y7" s="84">
        <v>0.5</v>
      </c>
      <c r="Z7" s="377">
        <v>0.5</v>
      </c>
      <c r="AA7" s="377">
        <v>0.4</v>
      </c>
      <c r="AB7" s="579">
        <v>0.4</v>
      </c>
      <c r="AC7" s="265">
        <f>AB7-AA7</f>
        <v>0</v>
      </c>
      <c r="AD7" s="265">
        <f>AB7-X7</f>
        <v>-0.09999999999999998</v>
      </c>
      <c r="AE7" s="331"/>
      <c r="AF7" s="84">
        <v>0.5</v>
      </c>
      <c r="AG7" s="579">
        <v>0.4</v>
      </c>
      <c r="AH7" s="84">
        <f>AG7-AF7</f>
        <v>-0.09999999999999998</v>
      </c>
      <c r="AI7" s="265">
        <f>W7</f>
        <v>0.5</v>
      </c>
      <c r="AJ7" s="401">
        <f>AA7</f>
        <v>0.4</v>
      </c>
      <c r="AK7" s="377">
        <f>AJ7-AI7</f>
        <v>-0.09999999999999998</v>
      </c>
      <c r="AL7" s="62"/>
    </row>
    <row r="8" spans="2:38" s="60" customFormat="1" ht="15">
      <c r="B8" s="22" t="s">
        <v>331</v>
      </c>
      <c r="D8" s="84">
        <v>1.7</v>
      </c>
      <c r="E8" s="84">
        <v>3.8</v>
      </c>
      <c r="F8" s="84">
        <v>2.5</v>
      </c>
      <c r="G8" s="84">
        <v>1.7</v>
      </c>
      <c r="H8" s="377">
        <v>1.6</v>
      </c>
      <c r="I8" s="84"/>
      <c r="J8" s="84">
        <v>2.3</v>
      </c>
      <c r="K8" s="84">
        <v>3.4</v>
      </c>
      <c r="L8" s="84">
        <v>3.1</v>
      </c>
      <c r="M8" s="84">
        <v>3.8</v>
      </c>
      <c r="N8" s="84">
        <v>3.6</v>
      </c>
      <c r="O8" s="84">
        <v>3</v>
      </c>
      <c r="P8" s="84">
        <v>2.8</v>
      </c>
      <c r="Q8" s="84">
        <v>2.5</v>
      </c>
      <c r="R8" s="84">
        <v>2.3</v>
      </c>
      <c r="S8" s="84">
        <v>2</v>
      </c>
      <c r="T8" s="84">
        <v>1.7</v>
      </c>
      <c r="U8" s="84">
        <v>1.7</v>
      </c>
      <c r="V8" s="84">
        <v>1.6</v>
      </c>
      <c r="W8" s="84">
        <v>1.7</v>
      </c>
      <c r="X8" s="84">
        <v>1.6</v>
      </c>
      <c r="Y8" s="84">
        <v>1.6</v>
      </c>
      <c r="Z8" s="377">
        <v>1.5</v>
      </c>
      <c r="AA8" s="377">
        <v>1.5</v>
      </c>
      <c r="AB8" s="579">
        <v>1.5</v>
      </c>
      <c r="AC8" s="265">
        <f>AB8-AA8</f>
        <v>0</v>
      </c>
      <c r="AD8" s="265">
        <f>AB8-X8</f>
        <v>-0.10000000000000009</v>
      </c>
      <c r="AE8" s="331"/>
      <c r="AF8" s="265">
        <v>1.6</v>
      </c>
      <c r="AG8" s="579">
        <v>1.5</v>
      </c>
      <c r="AH8" s="84">
        <f>AG8-AF8</f>
        <v>-0.10000000000000009</v>
      </c>
      <c r="AI8" s="265">
        <f>W8</f>
        <v>1.7</v>
      </c>
      <c r="AJ8" s="401">
        <f>AA8</f>
        <v>1.5</v>
      </c>
      <c r="AK8" s="377">
        <f>AJ8-AI8</f>
        <v>-0.19999999999999996</v>
      </c>
      <c r="AL8" s="62"/>
    </row>
    <row r="9" spans="2:38" s="60" customFormat="1" ht="3.75" customHeight="1">
      <c r="B9" s="157"/>
      <c r="D9" s="84"/>
      <c r="E9" s="84"/>
      <c r="F9" s="84"/>
      <c r="G9" s="84"/>
      <c r="H9" s="377"/>
      <c r="I9" s="84"/>
      <c r="J9" s="84"/>
      <c r="K9" s="84"/>
      <c r="L9" s="84"/>
      <c r="M9" s="84"/>
      <c r="N9" s="84"/>
      <c r="O9" s="84"/>
      <c r="P9" s="84"/>
      <c r="Q9" s="84"/>
      <c r="R9" s="84"/>
      <c r="S9" s="84"/>
      <c r="T9" s="84"/>
      <c r="U9" s="84"/>
      <c r="V9" s="84"/>
      <c r="W9" s="84"/>
      <c r="X9" s="84"/>
      <c r="Y9" s="84"/>
      <c r="Z9" s="439"/>
      <c r="AA9" s="377"/>
      <c r="AB9" s="579"/>
      <c r="AC9" s="378"/>
      <c r="AD9" s="378"/>
      <c r="AE9" s="61"/>
      <c r="AF9" s="84"/>
      <c r="AG9" s="579"/>
      <c r="AH9" s="84"/>
      <c r="AI9" s="377"/>
      <c r="AJ9" s="401"/>
      <c r="AK9" s="377"/>
      <c r="AL9" s="62"/>
    </row>
    <row r="10" spans="1:38" s="60" customFormat="1" ht="15">
      <c r="A10" s="64" t="s">
        <v>81</v>
      </c>
      <c r="D10" s="84"/>
      <c r="E10" s="84"/>
      <c r="F10" s="84"/>
      <c r="G10" s="84"/>
      <c r="H10" s="377"/>
      <c r="I10" s="84"/>
      <c r="J10" s="84"/>
      <c r="K10" s="84"/>
      <c r="L10" s="84"/>
      <c r="M10" s="84"/>
      <c r="N10" s="84"/>
      <c r="O10" s="84"/>
      <c r="P10" s="84"/>
      <c r="Q10" s="84"/>
      <c r="R10" s="84"/>
      <c r="S10" s="84"/>
      <c r="T10" s="84"/>
      <c r="U10" s="84"/>
      <c r="V10" s="84"/>
      <c r="W10" s="84"/>
      <c r="X10" s="84"/>
      <c r="Y10" s="84"/>
      <c r="Z10" s="439"/>
      <c r="AA10" s="377"/>
      <c r="AB10" s="579"/>
      <c r="AC10" s="378"/>
      <c r="AD10" s="378"/>
      <c r="AE10" s="61"/>
      <c r="AF10" s="84"/>
      <c r="AG10" s="579"/>
      <c r="AH10" s="84"/>
      <c r="AI10" s="377"/>
      <c r="AJ10" s="401"/>
      <c r="AK10" s="377"/>
      <c r="AL10" s="62"/>
    </row>
    <row r="11" spans="2:38" s="60" customFormat="1" ht="15">
      <c r="B11" s="60" t="s">
        <v>48</v>
      </c>
      <c r="D11" s="84">
        <v>1.1</v>
      </c>
      <c r="E11" s="84">
        <v>1.2</v>
      </c>
      <c r="F11" s="84">
        <v>0.8</v>
      </c>
      <c r="G11" s="84">
        <v>0.6</v>
      </c>
      <c r="H11" s="377">
        <v>0.4</v>
      </c>
      <c r="I11" s="84"/>
      <c r="J11" s="84">
        <v>1.2</v>
      </c>
      <c r="K11" s="84">
        <v>1.3</v>
      </c>
      <c r="L11" s="84">
        <v>1.3</v>
      </c>
      <c r="M11" s="84">
        <v>1.2</v>
      </c>
      <c r="N11" s="84">
        <v>1.2</v>
      </c>
      <c r="O11" s="84">
        <v>0.9</v>
      </c>
      <c r="P11" s="84">
        <v>0.9</v>
      </c>
      <c r="Q11" s="84">
        <v>0.8</v>
      </c>
      <c r="R11" s="84">
        <v>0.7</v>
      </c>
      <c r="S11" s="84">
        <v>0.6</v>
      </c>
      <c r="T11" s="84">
        <v>0.5</v>
      </c>
      <c r="U11" s="84">
        <v>0.6</v>
      </c>
      <c r="V11" s="84">
        <v>0.6</v>
      </c>
      <c r="W11" s="84">
        <v>0.6</v>
      </c>
      <c r="X11" s="84">
        <v>0.6</v>
      </c>
      <c r="Y11" s="84">
        <v>0.4</v>
      </c>
      <c r="Z11" s="377">
        <v>0.4</v>
      </c>
      <c r="AA11" s="377">
        <v>0.4</v>
      </c>
      <c r="AB11" s="579">
        <v>0.4</v>
      </c>
      <c r="AC11" s="265">
        <f>AB11-AA11</f>
        <v>0</v>
      </c>
      <c r="AD11" s="265">
        <f>AB11-X11</f>
        <v>-0.19999999999999996</v>
      </c>
      <c r="AE11" s="61"/>
      <c r="AF11" s="84">
        <v>0.6</v>
      </c>
      <c r="AG11" s="579">
        <v>0.4</v>
      </c>
      <c r="AH11" s="84">
        <f>AG11-AF11</f>
        <v>-0.19999999999999996</v>
      </c>
      <c r="AI11" s="377">
        <f>W11</f>
        <v>0.6</v>
      </c>
      <c r="AJ11" s="401">
        <f>AA11</f>
        <v>0.4</v>
      </c>
      <c r="AK11" s="377">
        <f>AJ11-AI11</f>
        <v>-0.19999999999999996</v>
      </c>
      <c r="AL11" s="62"/>
    </row>
    <row r="12" spans="2:38" s="60" customFormat="1" ht="15">
      <c r="B12" s="79" t="s">
        <v>49</v>
      </c>
      <c r="D12" s="84">
        <v>1.7</v>
      </c>
      <c r="E12" s="84">
        <v>1.7</v>
      </c>
      <c r="F12" s="84">
        <v>1</v>
      </c>
      <c r="G12" s="84">
        <v>0.8</v>
      </c>
      <c r="H12" s="377">
        <v>0.6</v>
      </c>
      <c r="I12" s="84"/>
      <c r="J12" s="84">
        <v>2.6</v>
      </c>
      <c r="K12" s="84">
        <v>2.4</v>
      </c>
      <c r="L12" s="84">
        <v>2</v>
      </c>
      <c r="M12" s="84">
        <v>1.7</v>
      </c>
      <c r="N12" s="84">
        <v>1.6</v>
      </c>
      <c r="O12" s="84">
        <v>1.2</v>
      </c>
      <c r="P12" s="84">
        <v>1</v>
      </c>
      <c r="Q12" s="84">
        <v>1</v>
      </c>
      <c r="R12" s="84">
        <v>0.9</v>
      </c>
      <c r="S12" s="84">
        <v>0.8</v>
      </c>
      <c r="T12" s="84">
        <v>0.8</v>
      </c>
      <c r="U12" s="84">
        <v>0.8</v>
      </c>
      <c r="V12" s="84">
        <v>0.8</v>
      </c>
      <c r="W12" s="84">
        <v>0.8</v>
      </c>
      <c r="X12" s="84">
        <v>0.7</v>
      </c>
      <c r="Y12" s="84">
        <v>0.6</v>
      </c>
      <c r="Z12" s="377">
        <v>0.7</v>
      </c>
      <c r="AA12" s="377">
        <v>0.7</v>
      </c>
      <c r="AB12" s="579">
        <v>0.7</v>
      </c>
      <c r="AC12" s="265">
        <f>AB12-AA12</f>
        <v>0</v>
      </c>
      <c r="AD12" s="265">
        <f>AB12-X12</f>
        <v>0</v>
      </c>
      <c r="AE12" s="61"/>
      <c r="AF12" s="84">
        <v>0.7</v>
      </c>
      <c r="AG12" s="579">
        <v>0.7</v>
      </c>
      <c r="AH12" s="84">
        <f>AG12-AF12</f>
        <v>0</v>
      </c>
      <c r="AI12" s="377">
        <f>W12</f>
        <v>0.8</v>
      </c>
      <c r="AJ12" s="401">
        <f>AA12</f>
        <v>0.7</v>
      </c>
      <c r="AK12" s="377">
        <f>AJ12-AI12</f>
        <v>-0.10000000000000009</v>
      </c>
      <c r="AL12" s="62"/>
    </row>
    <row r="13" spans="2:38" s="60" customFormat="1" ht="15">
      <c r="B13" s="79" t="s">
        <v>76</v>
      </c>
      <c r="D13" s="84">
        <v>4.3</v>
      </c>
      <c r="E13" s="84">
        <v>3.1</v>
      </c>
      <c r="F13" s="84">
        <v>1.9</v>
      </c>
      <c r="G13" s="84">
        <v>0.8</v>
      </c>
      <c r="H13" s="377">
        <v>0.8</v>
      </c>
      <c r="I13" s="84"/>
      <c r="J13" s="84">
        <v>4.7</v>
      </c>
      <c r="K13" s="84">
        <v>4.3</v>
      </c>
      <c r="L13" s="84">
        <v>3.6</v>
      </c>
      <c r="M13" s="84">
        <v>3.1</v>
      </c>
      <c r="N13" s="84">
        <v>3.1</v>
      </c>
      <c r="O13" s="84">
        <v>2.8</v>
      </c>
      <c r="P13" s="84">
        <v>2.4</v>
      </c>
      <c r="Q13" s="84">
        <v>1.9</v>
      </c>
      <c r="R13" s="84">
        <v>1.7</v>
      </c>
      <c r="S13" s="84">
        <v>1.2</v>
      </c>
      <c r="T13" s="84">
        <v>1</v>
      </c>
      <c r="U13" s="84">
        <v>0.8</v>
      </c>
      <c r="V13" s="84">
        <v>0.8</v>
      </c>
      <c r="W13" s="84">
        <v>0.8</v>
      </c>
      <c r="X13" s="84">
        <v>0.8</v>
      </c>
      <c r="Y13" s="84">
        <v>0.8</v>
      </c>
      <c r="Z13" s="377">
        <v>0.6</v>
      </c>
      <c r="AA13" s="377">
        <v>0.6</v>
      </c>
      <c r="AB13" s="579">
        <v>0.6</v>
      </c>
      <c r="AC13" s="265">
        <f>AB13-AA13</f>
        <v>0</v>
      </c>
      <c r="AD13" s="265">
        <f>AB13-X13</f>
        <v>-0.20000000000000007</v>
      </c>
      <c r="AE13" s="61"/>
      <c r="AF13" s="84">
        <v>0.8</v>
      </c>
      <c r="AG13" s="579">
        <v>0.6</v>
      </c>
      <c r="AH13" s="84">
        <f>AG13-AF13</f>
        <v>-0.20000000000000007</v>
      </c>
      <c r="AI13" s="377">
        <f>W13</f>
        <v>0.8</v>
      </c>
      <c r="AJ13" s="401">
        <f>AA13</f>
        <v>0.6</v>
      </c>
      <c r="AK13" s="377">
        <f>AJ13-AI13</f>
        <v>-0.20000000000000007</v>
      </c>
      <c r="AL13" s="62"/>
    </row>
    <row r="14" spans="2:38" s="60" customFormat="1" ht="15">
      <c r="B14" s="79" t="s">
        <v>93</v>
      </c>
      <c r="D14" s="84">
        <v>1.2</v>
      </c>
      <c r="E14" s="84">
        <v>1.3</v>
      </c>
      <c r="F14" s="84">
        <v>1.2</v>
      </c>
      <c r="G14" s="84">
        <v>0.9</v>
      </c>
      <c r="H14" s="377">
        <v>0.9</v>
      </c>
      <c r="I14" s="84"/>
      <c r="J14" s="84">
        <v>1.7</v>
      </c>
      <c r="K14" s="84">
        <v>2.3</v>
      </c>
      <c r="L14" s="84">
        <v>1.5</v>
      </c>
      <c r="M14" s="84">
        <v>1.3</v>
      </c>
      <c r="N14" s="84">
        <v>1.2</v>
      </c>
      <c r="O14" s="84">
        <v>1</v>
      </c>
      <c r="P14" s="84">
        <v>1.1</v>
      </c>
      <c r="Q14" s="84">
        <v>1.2</v>
      </c>
      <c r="R14" s="84">
        <v>1.1</v>
      </c>
      <c r="S14" s="84">
        <v>1.1</v>
      </c>
      <c r="T14" s="84">
        <v>1</v>
      </c>
      <c r="U14" s="84">
        <v>0.9</v>
      </c>
      <c r="V14" s="84">
        <v>0.9</v>
      </c>
      <c r="W14" s="84">
        <v>0.8</v>
      </c>
      <c r="X14" s="84">
        <v>0.9</v>
      </c>
      <c r="Y14" s="84">
        <v>0.9</v>
      </c>
      <c r="Z14" s="377">
        <v>1.3</v>
      </c>
      <c r="AA14" s="377">
        <v>1.6</v>
      </c>
      <c r="AB14" s="579">
        <v>2</v>
      </c>
      <c r="AC14" s="265">
        <f>AB14-AA14</f>
        <v>0.3999999999999999</v>
      </c>
      <c r="AD14" s="265">
        <f>AB14-X14</f>
        <v>1.1</v>
      </c>
      <c r="AE14" s="61"/>
      <c r="AF14" s="84">
        <v>0.9</v>
      </c>
      <c r="AG14" s="579">
        <v>2</v>
      </c>
      <c r="AH14" s="84">
        <f>AG14-AF14</f>
        <v>1.1</v>
      </c>
      <c r="AI14" s="377">
        <f>W14</f>
        <v>0.8</v>
      </c>
      <c r="AJ14" s="401">
        <f>AA14</f>
        <v>1.6</v>
      </c>
      <c r="AK14" s="377">
        <f>AJ14-AI14</f>
        <v>0.8</v>
      </c>
      <c r="AL14" s="62"/>
    </row>
    <row r="15" spans="2:38" s="60" customFormat="1" ht="15">
      <c r="B15" s="79" t="s">
        <v>77</v>
      </c>
      <c r="D15" s="84">
        <v>0.7</v>
      </c>
      <c r="E15" s="84">
        <v>13.1</v>
      </c>
      <c r="F15" s="84">
        <v>9.5</v>
      </c>
      <c r="G15" s="84">
        <v>7.3</v>
      </c>
      <c r="H15" s="377">
        <v>7.5</v>
      </c>
      <c r="I15" s="84"/>
      <c r="J15" s="84">
        <v>2.7</v>
      </c>
      <c r="K15" s="84">
        <v>8.8</v>
      </c>
      <c r="L15" s="84">
        <v>9.4</v>
      </c>
      <c r="M15" s="84">
        <v>13.1</v>
      </c>
      <c r="N15" s="84">
        <v>12.9</v>
      </c>
      <c r="O15" s="84">
        <v>11.5</v>
      </c>
      <c r="P15" s="84">
        <v>10.9</v>
      </c>
      <c r="Q15" s="84">
        <v>9.5</v>
      </c>
      <c r="R15" s="84"/>
      <c r="S15" s="84">
        <v>8.6</v>
      </c>
      <c r="T15" s="84">
        <v>7.4</v>
      </c>
      <c r="U15" s="84">
        <v>7.3</v>
      </c>
      <c r="V15" s="84">
        <v>6.9</v>
      </c>
      <c r="W15" s="84">
        <v>7.3</v>
      </c>
      <c r="X15" s="84">
        <v>7.3</v>
      </c>
      <c r="Y15" s="84">
        <v>7.5</v>
      </c>
      <c r="Z15" s="377">
        <v>7.2</v>
      </c>
      <c r="AA15" s="377">
        <v>7.1</v>
      </c>
      <c r="AB15" s="579">
        <v>7.1</v>
      </c>
      <c r="AC15" s="265">
        <f>AB15-AA15</f>
        <v>0</v>
      </c>
      <c r="AD15" s="265">
        <f>AB15-X15</f>
        <v>-0.20000000000000018</v>
      </c>
      <c r="AE15" s="61"/>
      <c r="AF15" s="84">
        <v>7.3</v>
      </c>
      <c r="AG15" s="579">
        <v>7.1</v>
      </c>
      <c r="AH15" s="84">
        <f>AG15-AF15</f>
        <v>-0.20000000000000018</v>
      </c>
      <c r="AI15" s="377">
        <f>W15</f>
        <v>7.3</v>
      </c>
      <c r="AJ15" s="401">
        <f>AA15</f>
        <v>7.1</v>
      </c>
      <c r="AK15" s="377">
        <f>AJ15-AI15</f>
        <v>-0.20000000000000018</v>
      </c>
      <c r="AL15" s="62"/>
    </row>
    <row r="16" spans="3:38" s="60" customFormat="1" ht="15">
      <c r="C16" s="63"/>
      <c r="D16" s="84"/>
      <c r="E16" s="84"/>
      <c r="F16" s="84"/>
      <c r="G16" s="84"/>
      <c r="H16" s="377"/>
      <c r="I16" s="84"/>
      <c r="J16" s="84"/>
      <c r="K16" s="84"/>
      <c r="L16" s="84"/>
      <c r="M16" s="84"/>
      <c r="N16" s="84"/>
      <c r="O16" s="84"/>
      <c r="P16" s="84"/>
      <c r="Q16" s="84"/>
      <c r="R16" s="84"/>
      <c r="S16" s="84"/>
      <c r="T16" s="84"/>
      <c r="U16" s="84"/>
      <c r="V16" s="84"/>
      <c r="W16" s="84"/>
      <c r="X16" s="84"/>
      <c r="Y16" s="84"/>
      <c r="Z16" s="377"/>
      <c r="AA16" s="377"/>
      <c r="AB16" s="579"/>
      <c r="AC16" s="378"/>
      <c r="AD16" s="378"/>
      <c r="AE16" s="61"/>
      <c r="AF16" s="84"/>
      <c r="AG16" s="579"/>
      <c r="AH16" s="84"/>
      <c r="AI16" s="377"/>
      <c r="AJ16" s="401"/>
      <c r="AK16" s="377"/>
      <c r="AL16" s="62"/>
    </row>
    <row r="17" spans="1:38" ht="15">
      <c r="A17" s="46" t="s">
        <v>107</v>
      </c>
      <c r="C17" s="6"/>
      <c r="H17" s="121"/>
      <c r="Z17" s="121"/>
      <c r="AA17" s="121"/>
      <c r="AB17" s="575"/>
      <c r="AC17" s="379"/>
      <c r="AD17" s="379"/>
      <c r="AG17" s="575"/>
      <c r="AL17" s="62"/>
    </row>
    <row r="18" spans="1:38" s="18" customFormat="1" ht="15">
      <c r="A18" s="18" t="s">
        <v>205</v>
      </c>
      <c r="D18" s="8">
        <v>114</v>
      </c>
      <c r="E18" s="17">
        <v>83</v>
      </c>
      <c r="F18" s="17">
        <v>100</v>
      </c>
      <c r="G18" s="17">
        <v>126</v>
      </c>
      <c r="H18" s="17">
        <v>142</v>
      </c>
      <c r="I18" s="17"/>
      <c r="J18" s="8">
        <v>97</v>
      </c>
      <c r="K18" s="17">
        <v>81</v>
      </c>
      <c r="L18" s="17">
        <v>90</v>
      </c>
      <c r="M18" s="17">
        <v>83</v>
      </c>
      <c r="N18" s="17">
        <v>92</v>
      </c>
      <c r="O18" s="17">
        <v>101</v>
      </c>
      <c r="P18" s="17">
        <v>97</v>
      </c>
      <c r="Q18" s="17">
        <v>100</v>
      </c>
      <c r="R18" s="17">
        <v>103</v>
      </c>
      <c r="S18" s="17">
        <v>113</v>
      </c>
      <c r="T18" s="17">
        <v>124</v>
      </c>
      <c r="U18" s="17">
        <v>126</v>
      </c>
      <c r="V18" s="17">
        <v>128</v>
      </c>
      <c r="W18" s="17">
        <v>129</v>
      </c>
      <c r="X18" s="17">
        <v>134</v>
      </c>
      <c r="Y18" s="17">
        <v>142</v>
      </c>
      <c r="Z18" s="17">
        <v>142</v>
      </c>
      <c r="AA18" s="17">
        <v>141</v>
      </c>
      <c r="AB18" s="572">
        <v>136</v>
      </c>
      <c r="AC18" s="261">
        <f>AB18-AA18</f>
        <v>-5</v>
      </c>
      <c r="AD18" s="261">
        <f>AB18-X18</f>
        <v>2</v>
      </c>
      <c r="AE18" s="15"/>
      <c r="AF18" s="17">
        <v>134</v>
      </c>
      <c r="AG18" s="572">
        <v>136</v>
      </c>
      <c r="AH18" s="17">
        <f>AG18-AF18</f>
        <v>2</v>
      </c>
      <c r="AI18" s="17">
        <f>W18</f>
        <v>129</v>
      </c>
      <c r="AJ18" s="125">
        <f>AA18</f>
        <v>141</v>
      </c>
      <c r="AK18" s="17">
        <f>AJ18-AI18</f>
        <v>12</v>
      </c>
      <c r="AL18" s="62"/>
    </row>
    <row r="19" spans="1:38" s="18" customFormat="1" ht="15">
      <c r="A19" s="18" t="s">
        <v>235</v>
      </c>
      <c r="C19" s="7"/>
      <c r="D19" s="8">
        <v>176</v>
      </c>
      <c r="E19" s="17">
        <v>108</v>
      </c>
      <c r="F19" s="17">
        <v>127</v>
      </c>
      <c r="G19" s="17">
        <v>165</v>
      </c>
      <c r="H19" s="17">
        <v>183</v>
      </c>
      <c r="I19" s="17"/>
      <c r="J19" s="8">
        <v>156</v>
      </c>
      <c r="K19" s="17">
        <v>119</v>
      </c>
      <c r="L19" s="17">
        <v>128</v>
      </c>
      <c r="M19" s="17">
        <v>108</v>
      </c>
      <c r="N19" s="17">
        <v>119</v>
      </c>
      <c r="O19" s="17">
        <v>126</v>
      </c>
      <c r="P19" s="17">
        <v>124</v>
      </c>
      <c r="Q19" s="17">
        <v>127</v>
      </c>
      <c r="R19" s="17">
        <v>134</v>
      </c>
      <c r="S19" s="17">
        <v>148</v>
      </c>
      <c r="T19" s="17">
        <v>158</v>
      </c>
      <c r="U19" s="17">
        <v>165</v>
      </c>
      <c r="V19" s="17">
        <v>172</v>
      </c>
      <c r="W19" s="17">
        <v>171</v>
      </c>
      <c r="X19" s="17">
        <v>176</v>
      </c>
      <c r="Y19" s="17">
        <v>183</v>
      </c>
      <c r="Z19" s="17">
        <v>187</v>
      </c>
      <c r="AA19" s="17">
        <v>191</v>
      </c>
      <c r="AB19" s="572">
        <v>192</v>
      </c>
      <c r="AC19" s="261">
        <f>AB19-AA19</f>
        <v>1</v>
      </c>
      <c r="AD19" s="261">
        <f>AB19-X19</f>
        <v>16</v>
      </c>
      <c r="AE19" s="15"/>
      <c r="AF19" s="17">
        <v>176</v>
      </c>
      <c r="AG19" s="572">
        <v>192</v>
      </c>
      <c r="AH19" s="17">
        <f>AG19-AF19</f>
        <v>16</v>
      </c>
      <c r="AI19" s="17">
        <f>W19</f>
        <v>171</v>
      </c>
      <c r="AJ19" s="125">
        <f>AA19</f>
        <v>191</v>
      </c>
      <c r="AK19" s="17">
        <f>AJ19-AI19</f>
        <v>20</v>
      </c>
      <c r="AL19" s="62"/>
    </row>
    <row r="20" spans="1:38" s="18" customFormat="1" ht="15">
      <c r="A20" s="18" t="s">
        <v>206</v>
      </c>
      <c r="C20" s="7"/>
      <c r="D20" s="8">
        <v>99</v>
      </c>
      <c r="E20" s="17">
        <v>76</v>
      </c>
      <c r="F20" s="17">
        <v>93</v>
      </c>
      <c r="G20" s="17">
        <v>119</v>
      </c>
      <c r="H20" s="17">
        <v>129</v>
      </c>
      <c r="I20" s="17"/>
      <c r="J20" s="8">
        <v>84</v>
      </c>
      <c r="K20" s="17">
        <v>68</v>
      </c>
      <c r="L20" s="17">
        <v>77</v>
      </c>
      <c r="M20" s="17">
        <v>76</v>
      </c>
      <c r="N20" s="17">
        <v>84</v>
      </c>
      <c r="O20" s="17">
        <v>92</v>
      </c>
      <c r="P20" s="17">
        <v>89</v>
      </c>
      <c r="Q20" s="17">
        <v>93</v>
      </c>
      <c r="R20" s="17">
        <v>96</v>
      </c>
      <c r="S20" s="17">
        <v>107</v>
      </c>
      <c r="T20" s="17">
        <v>117</v>
      </c>
      <c r="U20" s="17">
        <v>119</v>
      </c>
      <c r="V20" s="17">
        <v>121</v>
      </c>
      <c r="W20" s="17">
        <v>121</v>
      </c>
      <c r="X20" s="17">
        <v>125</v>
      </c>
      <c r="Y20" s="17">
        <v>129</v>
      </c>
      <c r="Z20" s="17">
        <v>129</v>
      </c>
      <c r="AA20" s="17">
        <v>129</v>
      </c>
      <c r="AB20" s="572">
        <v>125</v>
      </c>
      <c r="AC20" s="261">
        <f>AB20-AA20</f>
        <v>-4</v>
      </c>
      <c r="AD20" s="261">
        <f>AB20-X20</f>
        <v>0</v>
      </c>
      <c r="AE20" s="15"/>
      <c r="AF20" s="17">
        <v>125</v>
      </c>
      <c r="AG20" s="572">
        <v>125</v>
      </c>
      <c r="AH20" s="17">
        <f>AG20-AF20</f>
        <v>0</v>
      </c>
      <c r="AI20" s="17">
        <f>W20</f>
        <v>121</v>
      </c>
      <c r="AJ20" s="125">
        <f>AA20</f>
        <v>129</v>
      </c>
      <c r="AK20" s="17">
        <f>AJ20-AI20</f>
        <v>8</v>
      </c>
      <c r="AL20" s="62"/>
    </row>
    <row r="21" spans="1:38" s="18" customFormat="1" ht="15">
      <c r="A21" s="18" t="s">
        <v>207</v>
      </c>
      <c r="C21" s="7"/>
      <c r="D21" s="8">
        <v>159</v>
      </c>
      <c r="E21" s="17">
        <v>100</v>
      </c>
      <c r="F21" s="17">
        <v>121</v>
      </c>
      <c r="G21" s="17">
        <v>152</v>
      </c>
      <c r="H21" s="17">
        <v>165</v>
      </c>
      <c r="I21" s="17"/>
      <c r="J21" s="8">
        <v>142</v>
      </c>
      <c r="K21" s="17">
        <v>103</v>
      </c>
      <c r="L21" s="17">
        <v>113</v>
      </c>
      <c r="M21" s="17">
        <v>100</v>
      </c>
      <c r="N21" s="17">
        <v>111</v>
      </c>
      <c r="O21" s="17">
        <v>117</v>
      </c>
      <c r="P21" s="17">
        <v>117</v>
      </c>
      <c r="Q21" s="17">
        <v>121</v>
      </c>
      <c r="R21" s="17">
        <v>127</v>
      </c>
      <c r="S21" s="17">
        <v>141</v>
      </c>
      <c r="T21" s="17">
        <v>145</v>
      </c>
      <c r="U21" s="17">
        <v>152</v>
      </c>
      <c r="V21" s="17">
        <v>158</v>
      </c>
      <c r="W21" s="17">
        <v>154</v>
      </c>
      <c r="X21" s="17">
        <v>159</v>
      </c>
      <c r="Y21" s="17">
        <v>165</v>
      </c>
      <c r="Z21" s="17">
        <v>168</v>
      </c>
      <c r="AA21" s="17">
        <v>173</v>
      </c>
      <c r="AB21" s="572">
        <v>174</v>
      </c>
      <c r="AC21" s="261">
        <f>AB21-AA21</f>
        <v>1</v>
      </c>
      <c r="AD21" s="261">
        <f>AB21-X21</f>
        <v>15</v>
      </c>
      <c r="AE21" s="15"/>
      <c r="AF21" s="17">
        <v>159</v>
      </c>
      <c r="AG21" s="572">
        <v>174</v>
      </c>
      <c r="AH21" s="17">
        <f>AG21-AF21</f>
        <v>15</v>
      </c>
      <c r="AI21" s="17">
        <f>W21</f>
        <v>154</v>
      </c>
      <c r="AJ21" s="125">
        <f>AA21</f>
        <v>173</v>
      </c>
      <c r="AK21" s="17">
        <f>AJ21-AI21</f>
        <v>19</v>
      </c>
      <c r="AL21" s="62"/>
    </row>
    <row r="22" spans="3:37" s="18" customFormat="1" ht="15">
      <c r="C22" s="81"/>
      <c r="D22" s="8"/>
      <c r="E22" s="17"/>
      <c r="F22" s="17"/>
      <c r="G22" s="17"/>
      <c r="H22" s="17"/>
      <c r="I22" s="17"/>
      <c r="J22" s="17"/>
      <c r="K22" s="17"/>
      <c r="L22" s="17"/>
      <c r="M22" s="17"/>
      <c r="N22" s="17"/>
      <c r="O22" s="17"/>
      <c r="P22" s="17"/>
      <c r="Q22" s="17"/>
      <c r="R22" s="17"/>
      <c r="S22" s="17"/>
      <c r="T22" s="17"/>
      <c r="U22" s="17"/>
      <c r="V22" s="17"/>
      <c r="W22" s="17"/>
      <c r="X22" s="17"/>
      <c r="Y22" s="17"/>
      <c r="Z22" s="354"/>
      <c r="AA22" s="437"/>
      <c r="AB22" s="498"/>
      <c r="AC22" s="17"/>
      <c r="AD22" s="17"/>
      <c r="AE22" s="15"/>
      <c r="AF22" s="170"/>
      <c r="AG22" s="498"/>
      <c r="AH22" s="17"/>
      <c r="AI22" s="169"/>
      <c r="AJ22" s="462"/>
      <c r="AK22" s="17"/>
    </row>
    <row r="23" spans="26:36" ht="14.25">
      <c r="Z23" s="355"/>
      <c r="AA23" s="165"/>
      <c r="AB23" s="489"/>
      <c r="AG23" s="489"/>
      <c r="AJ23" s="461"/>
    </row>
    <row r="24" spans="26:36" ht="14.25">
      <c r="Z24" s="355"/>
      <c r="AA24" s="165"/>
      <c r="AB24" s="489"/>
      <c r="AG24" s="489"/>
      <c r="AJ24" s="461"/>
    </row>
    <row r="25" spans="26:36" ht="14.25">
      <c r="Z25" s="355"/>
      <c r="AA25" s="355"/>
      <c r="AB25" s="489"/>
      <c r="AG25" s="489"/>
      <c r="AJ25" s="461"/>
    </row>
    <row r="26" spans="26:33" ht="14.25">
      <c r="Z26" s="355"/>
      <c r="AA26" s="355"/>
      <c r="AB26" s="489"/>
      <c r="AG26" s="489"/>
    </row>
    <row r="27" spans="26:33" ht="14.25">
      <c r="Z27" s="355"/>
      <c r="AA27" s="355"/>
      <c r="AB27" s="352"/>
      <c r="AG27" s="489"/>
    </row>
    <row r="28" spans="26:33" ht="14.25">
      <c r="Z28" s="355"/>
      <c r="AA28" s="355"/>
      <c r="AB28" s="352"/>
      <c r="AG28" s="489"/>
    </row>
    <row r="29" spans="26:28" ht="14.25">
      <c r="Z29" s="355"/>
      <c r="AA29" s="355"/>
      <c r="AB29" s="352"/>
    </row>
    <row r="30" spans="26:28" ht="14.25">
      <c r="Z30" s="355"/>
      <c r="AA30" s="355"/>
      <c r="AB30" s="352"/>
    </row>
  </sheetData>
  <sheetProtection/>
  <mergeCells count="1">
    <mergeCell ref="A2:C2"/>
  </mergeCells>
  <hyperlinks>
    <hyperlink ref="A2" location="Index!A1" display="Back to Index"/>
  </hyperlinks>
  <printOptions gridLines="1"/>
  <pageMargins left="0.75" right="0.5" top="1" bottom="1" header="0.5" footer="0.5"/>
  <pageSetup horizontalDpi="600" verticalDpi="600" orientation="landscape" paperSize="9" scale="90" r:id="rId1"/>
  <headerFooter alignWithMargins="0">
    <oddFooter>&amp;L&amp;D\&amp;T&amp;R&amp;F&amp;A</oddFooter>
  </headerFooter>
</worksheet>
</file>

<file path=xl/worksheets/sheet12.xml><?xml version="1.0" encoding="utf-8"?>
<worksheet xmlns="http://schemas.openxmlformats.org/spreadsheetml/2006/main" xmlns:r="http://schemas.openxmlformats.org/officeDocument/2006/relationships">
  <sheetPr>
    <tabColor indexed="47"/>
  </sheetPr>
  <dimension ref="A1:AK79"/>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N21" sqref="AN21"/>
    </sheetView>
  </sheetViews>
  <sheetFormatPr defaultColWidth="9.140625" defaultRowHeight="12.75" outlineLevelCol="1"/>
  <cols>
    <col min="1" max="1" width="3.00390625" style="22" customWidth="1"/>
    <col min="2" max="2" width="3.421875" style="22" customWidth="1"/>
    <col min="3" max="3" width="38.7109375" style="10" customWidth="1"/>
    <col min="4" max="4" width="9.00390625" style="76" hidden="1" customWidth="1" outlineLevel="1"/>
    <col min="5" max="8" width="9.00390625" style="75" hidden="1" customWidth="1" outlineLevel="1"/>
    <col min="9" max="9" width="2.421875" style="75" hidden="1" customWidth="1" outlineLevel="1"/>
    <col min="10" max="17" width="9.140625" style="75" hidden="1" customWidth="1" outlineLevel="1"/>
    <col min="18" max="19" width="9.140625" style="75" hidden="1" customWidth="1" outlineLevel="1" collapsed="1"/>
    <col min="20" max="21" width="9.140625" style="75" hidden="1" customWidth="1" outlineLevel="1"/>
    <col min="22" max="22" width="9.140625" style="75" customWidth="1" collapsed="1"/>
    <col min="23" max="27" width="9.140625" style="75" customWidth="1"/>
    <col min="28" max="28" width="9.140625" style="119" customWidth="1"/>
    <col min="29" max="30" width="9.140625" style="75" customWidth="1"/>
    <col min="31" max="31" width="2.421875" style="21" customWidth="1"/>
    <col min="32" max="32" width="9.140625" style="75" customWidth="1"/>
    <col min="33" max="33" width="9.140625" style="119" customWidth="1"/>
    <col min="34" max="34" width="9.7109375" style="75" customWidth="1"/>
    <col min="35" max="35" width="9.140625" style="121" hidden="1" customWidth="1"/>
    <col min="36" max="36" width="9.140625" style="122" hidden="1" customWidth="1"/>
    <col min="37" max="37" width="9.7109375" style="121" hidden="1" customWidth="1"/>
    <col min="38" max="16384" width="9.140625" style="22" customWidth="1"/>
  </cols>
  <sheetData>
    <row r="1" spans="1:37" s="42" customFormat="1" ht="20.25">
      <c r="A1" s="41" t="s">
        <v>101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+'10.NPL,Coverage ratios'!AC2</f>
        <v>3Q13
vs 
2Q13</v>
      </c>
      <c r="AD2" s="285" t="str">
        <f>+'10.NPL,Coverage ratios'!AD2</f>
        <v>3Q13
vs 
3Q12</v>
      </c>
      <c r="AF2" s="74" t="s">
        <v>442</v>
      </c>
      <c r="AG2" s="74" t="s">
        <v>443</v>
      </c>
      <c r="AH2" s="285" t="s">
        <v>444</v>
      </c>
      <c r="AI2" s="285" t="str">
        <f>+'10.NPL,Coverage ratios'!AI2</f>
        <v>1H12</v>
      </c>
      <c r="AJ2" s="285" t="str">
        <f>+'10.NPL,Coverage ratios'!AJ2</f>
        <v>1H13</v>
      </c>
      <c r="AK2" s="285" t="str">
        <f>+'10.NPL,Coverage ratios'!AK2</f>
        <v>1H13
vs 
1H12</v>
      </c>
    </row>
    <row r="3" spans="1:37" s="18" customFormat="1" ht="9.75" customHeight="1">
      <c r="A3" s="7"/>
      <c r="D3" s="17"/>
      <c r="E3" s="17"/>
      <c r="F3" s="17"/>
      <c r="G3" s="17"/>
      <c r="H3" s="17"/>
      <c r="I3" s="17"/>
      <c r="J3" s="17"/>
      <c r="K3" s="17"/>
      <c r="L3" s="17"/>
      <c r="M3" s="17"/>
      <c r="N3" s="17"/>
      <c r="O3" s="17"/>
      <c r="P3" s="17"/>
      <c r="Q3" s="17"/>
      <c r="R3" s="17"/>
      <c r="S3" s="17"/>
      <c r="T3" s="17"/>
      <c r="U3" s="17"/>
      <c r="V3" s="17"/>
      <c r="W3" s="17"/>
      <c r="X3" s="17"/>
      <c r="Y3" s="17"/>
      <c r="Z3" s="17"/>
      <c r="AA3" s="17"/>
      <c r="AB3" s="125"/>
      <c r="AC3" s="17"/>
      <c r="AD3" s="17"/>
      <c r="AE3" s="15"/>
      <c r="AF3" s="17"/>
      <c r="AG3" s="125"/>
      <c r="AH3" s="17"/>
      <c r="AI3" s="17"/>
      <c r="AJ3" s="125"/>
      <c r="AK3" s="17"/>
    </row>
    <row r="4" spans="1:37" s="18" customFormat="1" ht="15" customHeight="1">
      <c r="A4" s="46" t="s">
        <v>200</v>
      </c>
      <c r="D4" s="17"/>
      <c r="E4" s="17"/>
      <c r="F4" s="17"/>
      <c r="G4" s="17"/>
      <c r="H4" s="17"/>
      <c r="I4" s="17"/>
      <c r="J4" s="17"/>
      <c r="K4" s="17"/>
      <c r="L4" s="17"/>
      <c r="M4" s="17"/>
      <c r="N4" s="17"/>
      <c r="O4" s="17"/>
      <c r="P4" s="17"/>
      <c r="Q4" s="17"/>
      <c r="R4" s="17"/>
      <c r="S4" s="17"/>
      <c r="T4" s="17"/>
      <c r="U4" s="17"/>
      <c r="V4" s="17"/>
      <c r="W4" s="17"/>
      <c r="X4" s="17"/>
      <c r="Y4" s="17"/>
      <c r="Z4" s="354"/>
      <c r="AA4" s="354"/>
      <c r="AB4" s="353"/>
      <c r="AC4" s="17"/>
      <c r="AD4" s="17"/>
      <c r="AE4" s="15"/>
      <c r="AF4" s="17"/>
      <c r="AG4" s="498"/>
      <c r="AH4" s="17"/>
      <c r="AI4" s="17"/>
      <c r="AJ4" s="125"/>
      <c r="AK4" s="17"/>
    </row>
    <row r="5" spans="1:37" s="18" customFormat="1" ht="15">
      <c r="A5" s="7" t="s">
        <v>157</v>
      </c>
      <c r="D5" s="104">
        <v>2392</v>
      </c>
      <c r="E5" s="17">
        <v>4219</v>
      </c>
      <c r="F5" s="17">
        <v>3213</v>
      </c>
      <c r="G5" s="17">
        <v>2904</v>
      </c>
      <c r="H5" s="17">
        <v>2726</v>
      </c>
      <c r="I5" s="17"/>
      <c r="J5" s="17">
        <v>3233</v>
      </c>
      <c r="K5" s="17">
        <v>4051</v>
      </c>
      <c r="L5" s="17">
        <v>3823</v>
      </c>
      <c r="M5" s="17">
        <v>4219</v>
      </c>
      <c r="N5" s="17">
        <v>4068</v>
      </c>
      <c r="O5" s="17">
        <v>3724</v>
      </c>
      <c r="P5" s="17">
        <v>3505</v>
      </c>
      <c r="Q5" s="17">
        <v>3213</v>
      </c>
      <c r="R5" s="17">
        <v>3098</v>
      </c>
      <c r="S5" s="17">
        <v>2883</v>
      </c>
      <c r="T5" s="17">
        <v>2780</v>
      </c>
      <c r="U5" s="17">
        <v>2904</v>
      </c>
      <c r="V5" s="17">
        <v>2908</v>
      </c>
      <c r="W5" s="17">
        <v>2956</v>
      </c>
      <c r="X5" s="17">
        <v>2835</v>
      </c>
      <c r="Y5" s="17">
        <v>2726</v>
      </c>
      <c r="Z5" s="17">
        <f>+Z6+Z7</f>
        <v>2767</v>
      </c>
      <c r="AA5" s="17">
        <f>+AA6+AA7</f>
        <v>2966</v>
      </c>
      <c r="AB5" s="572">
        <f>+AB6+AB7</f>
        <v>3054</v>
      </c>
      <c r="AC5" s="17">
        <f>IF(AND(AB5=0,AB5=0),0,IF(OR(AND(AB5&gt;0,AA5&lt;=0),AND(AB5&lt;0,AA5&gt;=0)),"nm",IF(AND(AB5&lt;0,AA5&lt;0),IF(-(AB5/AA5-1)*100&lt;-100,"(&gt;100)",-(AB5/AA5-1)*100),IF((AB5/AA5-1)*100&gt;100,"&gt;100",(AB5/AA5-1)*100))))</f>
        <v>2.9669588671611624</v>
      </c>
      <c r="AD5" s="17">
        <f>IF(AND(AB5=0,X5=0),0,IF(OR(AND(AB5&gt;0,X5&lt;=0),AND(AB5&lt;0,X5&gt;=0)),"nm",IF(AND(AB5&lt;0,X5&lt;0),IF(-(AB5/X5-1)*100&lt;-100,"(&gt;100)",-(AB5/X5-1)*100),IF((AB5/X5-1)*100&gt;100,"&gt;100",(AB5/X5-1)*100))))</f>
        <v>7.724867724867734</v>
      </c>
      <c r="AE5" s="15"/>
      <c r="AF5" s="17">
        <v>2835</v>
      </c>
      <c r="AG5" s="572">
        <f>+AG6+AG7</f>
        <v>3054</v>
      </c>
      <c r="AH5" s="17">
        <f>IF(AND(AG5=0,AF5=0),0,IF(OR(AND(AG5&gt;0,AF5&lt;=0),AND(AG5&lt;0,AF5&gt;=0)),"nm",IF(AND(AG5&lt;0,AF5&lt;0),IF(-(AG5/AF5-1)*100&lt;-100,"(&gt;100)",-(AG5/AF5-1)*100),IF((AG5/AF5-1)*100&gt;100,"&gt;100",(AG5/AF5-1)*100))))</f>
        <v>7.724867724867734</v>
      </c>
      <c r="AI5" s="17">
        <f>W5</f>
        <v>2956</v>
      </c>
      <c r="AJ5" s="125">
        <f>AA5</f>
        <v>2966</v>
      </c>
      <c r="AK5" s="17">
        <f>IF(AND(AJ5=0,AI5=0),0,IF(OR(AND(AJ5&gt;0,AI5&lt;=0),AND(AJ5&lt;0,AI5&gt;=0)),"nm",IF(AND(AJ5&lt;0,AI5&lt;0),IF(-(AJ5/AI5-1)*100&lt;-100,"(&gt;100)",-(AJ5/AI5-1)*100),IF((AJ5/AI5-1)*100&gt;100,"&gt;100",(AJ5/AI5-1)*100))))</f>
        <v>0.3382949932341006</v>
      </c>
    </row>
    <row r="6" spans="1:37" s="18" customFormat="1" ht="15">
      <c r="A6" s="7"/>
      <c r="B6" s="18" t="s">
        <v>158</v>
      </c>
      <c r="D6" s="104">
        <v>1958</v>
      </c>
      <c r="E6" s="17">
        <v>3876</v>
      </c>
      <c r="F6" s="17">
        <v>2878</v>
      </c>
      <c r="G6" s="17">
        <v>2639</v>
      </c>
      <c r="H6" s="17">
        <v>2627</v>
      </c>
      <c r="I6" s="17"/>
      <c r="J6" s="17">
        <v>2721</v>
      </c>
      <c r="K6" s="17">
        <v>3692</v>
      </c>
      <c r="L6" s="17">
        <v>3419</v>
      </c>
      <c r="M6" s="17">
        <v>3876</v>
      </c>
      <c r="N6" s="17">
        <v>3764</v>
      </c>
      <c r="O6" s="17">
        <v>3431</v>
      </c>
      <c r="P6" s="17">
        <v>3171</v>
      </c>
      <c r="Q6" s="17">
        <v>2878</v>
      </c>
      <c r="R6" s="17">
        <v>2806</v>
      </c>
      <c r="S6" s="17">
        <v>2597</v>
      </c>
      <c r="T6" s="17">
        <v>2511</v>
      </c>
      <c r="U6" s="17">
        <v>2639</v>
      </c>
      <c r="V6" s="17">
        <v>2648</v>
      </c>
      <c r="W6" s="17">
        <v>2761</v>
      </c>
      <c r="X6" s="17">
        <v>2649</v>
      </c>
      <c r="Y6" s="17">
        <v>2627</v>
      </c>
      <c r="Z6" s="17">
        <v>2670</v>
      </c>
      <c r="AA6" s="17">
        <v>2875</v>
      </c>
      <c r="AB6" s="572">
        <v>2938</v>
      </c>
      <c r="AC6" s="17">
        <f>IF(AND(AB6=0,AB6=0),0,IF(OR(AND(AB6&gt;0,AA6&lt;=0),AND(AB6&lt;0,AA6&gt;=0)),"nm",IF(AND(AB6&lt;0,AA6&lt;0),IF(-(AB6/AA6-1)*100&lt;-100,"(&gt;100)",-(AB6/AA6-1)*100),IF((AB6/AA6-1)*100&gt;100,"&gt;100",(AB6/AA6-1)*100))))</f>
        <v>2.191304347826084</v>
      </c>
      <c r="AD6" s="17">
        <f>IF(AND(AB6=0,X6=0),0,IF(OR(AND(AB6&gt;0,X6&lt;=0),AND(AB6&lt;0,X6&gt;=0)),"nm",IF(AND(AB6&lt;0,X6&lt;0),IF(-(AB6/X6-1)*100&lt;-100,"(&gt;100)",-(AB6/X6-1)*100),IF((AB6/X6-1)*100&gt;100,"&gt;100",(AB6/X6-1)*100))))</f>
        <v>10.909777274443178</v>
      </c>
      <c r="AE6" s="15"/>
      <c r="AF6" s="17">
        <v>2649</v>
      </c>
      <c r="AG6" s="572">
        <v>2938</v>
      </c>
      <c r="AH6" s="17">
        <f>IF(AND(AG6=0,AF6=0),0,IF(OR(AND(AG6&gt;0,AF6&lt;=0),AND(AG6&lt;0,AF6&gt;=0)),"nm",IF(AND(AG6&lt;0,AF6&lt;0),IF(-(AG6/AF6-1)*100&lt;-100,"(&gt;100)",-(AG6/AF6-1)*100),IF((AG6/AF6-1)*100&gt;100,"&gt;100",(AG6/AF6-1)*100))))</f>
        <v>10.909777274443178</v>
      </c>
      <c r="AI6" s="17">
        <f>W6</f>
        <v>2761</v>
      </c>
      <c r="AJ6" s="125">
        <f>AA6</f>
        <v>2875</v>
      </c>
      <c r="AK6" s="17">
        <f>IF(AND(AJ6=0,AI6=0),0,IF(OR(AND(AJ6&gt;0,AI6&lt;=0),AND(AJ6&lt;0,AI6&gt;=0)),"nm",IF(AND(AJ6&lt;0,AI6&lt;0),IF(-(AJ6/AI6-1)*100&lt;-100,"(&gt;100)",-(AJ6/AI6-1)*100),IF((AJ6/AI6-1)*100&gt;100,"&gt;100",(AJ6/AI6-1)*100))))</f>
        <v>4.128938790293368</v>
      </c>
    </row>
    <row r="7" spans="2:37" s="18" customFormat="1" ht="15">
      <c r="B7" s="18" t="s">
        <v>159</v>
      </c>
      <c r="D7" s="104">
        <f>D8+D9</f>
        <v>434</v>
      </c>
      <c r="E7" s="17">
        <f>E8+E9</f>
        <v>343</v>
      </c>
      <c r="F7" s="17">
        <v>335</v>
      </c>
      <c r="G7" s="17">
        <v>265</v>
      </c>
      <c r="H7" s="17">
        <v>99</v>
      </c>
      <c r="I7" s="17"/>
      <c r="J7" s="17">
        <v>512</v>
      </c>
      <c r="K7" s="17">
        <f>K8+K9</f>
        <v>359</v>
      </c>
      <c r="L7" s="17">
        <v>404</v>
      </c>
      <c r="M7" s="17">
        <v>343</v>
      </c>
      <c r="N7" s="17">
        <v>304</v>
      </c>
      <c r="O7" s="17">
        <v>293</v>
      </c>
      <c r="P7" s="17">
        <v>334</v>
      </c>
      <c r="Q7" s="17">
        <v>335</v>
      </c>
      <c r="R7" s="17">
        <v>292</v>
      </c>
      <c r="S7" s="17">
        <v>286</v>
      </c>
      <c r="T7" s="17">
        <v>269</v>
      </c>
      <c r="U7" s="17">
        <v>265</v>
      </c>
      <c r="V7" s="17">
        <v>260</v>
      </c>
      <c r="W7" s="17">
        <v>195</v>
      </c>
      <c r="X7" s="17">
        <v>186</v>
      </c>
      <c r="Y7" s="17">
        <v>99</v>
      </c>
      <c r="Z7" s="17">
        <f>SUM(Z8:Z9)</f>
        <v>97</v>
      </c>
      <c r="AA7" s="17">
        <f>SUM(AA8:AA9)</f>
        <v>91</v>
      </c>
      <c r="AB7" s="572">
        <f>SUM(AB8:AB9)</f>
        <v>116</v>
      </c>
      <c r="AC7" s="17">
        <f>IF(AND(AB7=0,AB7=0),0,IF(OR(AND(AB7&gt;0,AA7&lt;=0),AND(AB7&lt;0,AA7&gt;=0)),"nm",IF(AND(AB7&lt;0,AA7&lt;0),IF(-(AB7/AA7-1)*100&lt;-100,"(&gt;100)",-(AB7/AA7-1)*100),IF((AB7/AA7-1)*100&gt;100,"&gt;100",(AB7/AA7-1)*100))))</f>
        <v>27.472527472527464</v>
      </c>
      <c r="AD7" s="17">
        <f>IF(AND(AB7=0,X7=0),0,IF(OR(AND(AB7&gt;0,X7&lt;=0),AND(AB7&lt;0,X7&gt;=0)),"nm",IF(AND(AB7&lt;0,X7&lt;0),IF(-(AB7/X7-1)*100&lt;-100,"(&gt;100)",-(AB7/X7-1)*100),IF((AB7/X7-1)*100&gt;100,"&gt;100",(AB7/X7-1)*100))))</f>
        <v>-37.634408602150536</v>
      </c>
      <c r="AE7" s="15"/>
      <c r="AF7" s="17">
        <v>186</v>
      </c>
      <c r="AG7" s="572">
        <f>SUM(AG8:AG9)</f>
        <v>116</v>
      </c>
      <c r="AH7" s="17">
        <f>IF(AND(AG7=0,AF7=0),0,IF(OR(AND(AG7&gt;0,AF7&lt;=0),AND(AG7&lt;0,AF7&gt;=0)),"nm",IF(AND(AG7&lt;0,AF7&lt;0),IF(-(AG7/AF7-1)*100&lt;-100,"(&gt;100)",-(AG7/AF7-1)*100),IF((AG7/AF7-1)*100&gt;100,"&gt;100",(AG7/AF7-1)*100))))</f>
        <v>-37.634408602150536</v>
      </c>
      <c r="AI7" s="17">
        <f>W7</f>
        <v>195</v>
      </c>
      <c r="AJ7" s="125">
        <f>AA7</f>
        <v>91</v>
      </c>
      <c r="AK7" s="17">
        <f>IF(AND(AJ7=0,AI7=0),0,IF(OR(AND(AJ7&gt;0,AI7&lt;=0),AND(AJ7&lt;0,AI7&gt;=0)),"nm",IF(AND(AJ7&lt;0,AI7&lt;0),IF(-(AJ7/AI7-1)*100&lt;-100,"(&gt;100)",-(AJ7/AI7-1)*100),IF((AJ7/AI7-1)*100&gt;100,"&gt;100",(AJ7/AI7-1)*100))))</f>
        <v>-53.333333333333336</v>
      </c>
    </row>
    <row r="8" spans="3:37" ht="14.25">
      <c r="C8" s="6" t="s">
        <v>78</v>
      </c>
      <c r="D8" s="131">
        <v>277</v>
      </c>
      <c r="E8" s="75">
        <v>160</v>
      </c>
      <c r="F8" s="75">
        <v>28</v>
      </c>
      <c r="G8" s="75">
        <v>10</v>
      </c>
      <c r="H8" s="121">
        <v>13</v>
      </c>
      <c r="J8" s="75">
        <v>293</v>
      </c>
      <c r="K8" s="75">
        <v>192</v>
      </c>
      <c r="L8" s="75">
        <v>208</v>
      </c>
      <c r="M8" s="75">
        <v>160</v>
      </c>
      <c r="N8" s="75">
        <v>127</v>
      </c>
      <c r="O8" s="75">
        <v>101</v>
      </c>
      <c r="P8" s="75">
        <v>112</v>
      </c>
      <c r="Q8" s="75">
        <v>28</v>
      </c>
      <c r="R8" s="75">
        <v>25</v>
      </c>
      <c r="S8" s="75">
        <v>10</v>
      </c>
      <c r="T8" s="75">
        <v>10</v>
      </c>
      <c r="U8" s="75">
        <v>10</v>
      </c>
      <c r="V8" s="75">
        <v>10</v>
      </c>
      <c r="W8" s="75">
        <v>13</v>
      </c>
      <c r="X8" s="75">
        <v>13</v>
      </c>
      <c r="Y8" s="75">
        <v>13</v>
      </c>
      <c r="Z8" s="121">
        <v>13</v>
      </c>
      <c r="AA8" s="121">
        <v>9</v>
      </c>
      <c r="AB8" s="575">
        <v>9</v>
      </c>
      <c r="AC8" s="75">
        <f>IF(AND(AB8=0,AB8=0),0,IF(OR(AND(AB8&gt;0,AA8&lt;=0),AND(AB8&lt;0,AA8&gt;=0)),"nm",IF(AND(AB8&lt;0,AA8&lt;0),IF(-(AB8/AA8-1)*100&lt;-100,"(&gt;100)",-(AB8/AA8-1)*100),IF((AB8/AA8-1)*100&gt;100,"&gt;100",(AB8/AA8-1)*100))))</f>
        <v>0</v>
      </c>
      <c r="AD8" s="75">
        <f>IF(AND(AB8=0,X8=0),0,IF(OR(AND(AB8&gt;0,X8&lt;=0),AND(AB8&lt;0,X8&gt;=0)),"nm",IF(AND(AB8&lt;0,X8&lt;0),IF(-(AB8/X8-1)*100&lt;-100,"(&gt;100)",-(AB8/X8-1)*100),IF((AB8/X8-1)*100&gt;100,"&gt;100",(AB8/X8-1)*100))))</f>
        <v>-30.76923076923077</v>
      </c>
      <c r="AF8" s="75">
        <v>13</v>
      </c>
      <c r="AG8" s="575">
        <v>9</v>
      </c>
      <c r="AH8" s="75">
        <f>IF(AND(AG8=0,AF8=0),0,IF(OR(AND(AG8&gt;0,AF8&lt;=0),AND(AG8&lt;0,AF8&gt;=0)),"nm",IF(AND(AG8&lt;0,AF8&lt;0),IF(-(AG8/AF8-1)*100&lt;-100,"(&gt;100)",-(AG8/AF8-1)*100),IF((AG8/AF8-1)*100&gt;100,"&gt;100",(AG8/AF8-1)*100))))</f>
        <v>-30.76923076923077</v>
      </c>
      <c r="AI8" s="121">
        <f>W8</f>
        <v>13</v>
      </c>
      <c r="AJ8" s="122">
        <f>AA8</f>
        <v>9</v>
      </c>
      <c r="AK8" s="121">
        <f>IF(AND(AJ8=0,AI8=0),0,IF(OR(AND(AJ8&gt;0,AI8&lt;=0),AND(AJ8&lt;0,AI8&gt;=0)),"nm",IF(AND(AJ8&lt;0,AI8&lt;0),IF(-(AJ8/AI8-1)*100&lt;-100,"(&gt;100)",-(AJ8/AI8-1)*100),IF((AJ8/AI8-1)*100&gt;100,"&gt;100",(AJ8/AI8-1)*100))))</f>
        <v>-30.76923076923077</v>
      </c>
    </row>
    <row r="9" spans="3:37" ht="14.25">
      <c r="C9" s="6" t="s">
        <v>79</v>
      </c>
      <c r="D9" s="131">
        <v>157</v>
      </c>
      <c r="E9" s="75">
        <v>183</v>
      </c>
      <c r="F9" s="75">
        <v>307</v>
      </c>
      <c r="G9" s="75">
        <v>255</v>
      </c>
      <c r="H9" s="121">
        <v>86</v>
      </c>
      <c r="J9" s="75">
        <v>219</v>
      </c>
      <c r="K9" s="75">
        <v>167</v>
      </c>
      <c r="L9" s="75">
        <v>196</v>
      </c>
      <c r="M9" s="75">
        <v>183</v>
      </c>
      <c r="N9" s="75">
        <v>177</v>
      </c>
      <c r="O9" s="75">
        <v>192</v>
      </c>
      <c r="P9" s="75">
        <v>222</v>
      </c>
      <c r="Q9" s="75">
        <v>307</v>
      </c>
      <c r="R9" s="75">
        <v>267</v>
      </c>
      <c r="S9" s="75">
        <v>276</v>
      </c>
      <c r="T9" s="75">
        <v>259</v>
      </c>
      <c r="U9" s="75">
        <v>255</v>
      </c>
      <c r="V9" s="75">
        <v>250</v>
      </c>
      <c r="W9" s="75">
        <v>182</v>
      </c>
      <c r="X9" s="75">
        <v>173</v>
      </c>
      <c r="Y9" s="75">
        <v>86</v>
      </c>
      <c r="Z9" s="121">
        <v>84</v>
      </c>
      <c r="AA9" s="121">
        <v>82</v>
      </c>
      <c r="AB9" s="575">
        <v>107</v>
      </c>
      <c r="AC9" s="75">
        <f>IF(AND(AB9=0,AB9=0),0,IF(OR(AND(AB9&gt;0,AA9&lt;=0),AND(AB9&lt;0,AA9&gt;=0)),"nm",IF(AND(AB9&lt;0,AA9&lt;0),IF(-(AB9/AA9-1)*100&lt;-100,"(&gt;100)",-(AB9/AA9-1)*100),IF((AB9/AA9-1)*100&gt;100,"&gt;100",(AB9/AA9-1)*100))))</f>
        <v>30.487804878048784</v>
      </c>
      <c r="AD9" s="75">
        <f>IF(AND(AB9=0,X9=0),0,IF(OR(AND(AB9&gt;0,X9&lt;=0),AND(AB9&lt;0,X9&gt;=0)),"nm",IF(AND(AB9&lt;0,X9&lt;0),IF(-(AB9/X9-1)*100&lt;-100,"(&gt;100)",-(AB9/X9-1)*100),IF((AB9/X9-1)*100&gt;100,"&gt;100",(AB9/X9-1)*100))))</f>
        <v>-38.150289017341045</v>
      </c>
      <c r="AF9" s="75">
        <v>173</v>
      </c>
      <c r="AG9" s="575">
        <v>107</v>
      </c>
      <c r="AH9" s="75">
        <f>IF(AND(AG9=0,AF9=0),0,IF(OR(AND(AG9&gt;0,AF9&lt;=0),AND(AG9&lt;0,AF9&gt;=0)),"nm",IF(AND(AG9&lt;0,AF9&lt;0),IF(-(AG9/AF9-1)*100&lt;-100,"(&gt;100)",-(AG9/AF9-1)*100),IF((AG9/AF9-1)*100&gt;100,"&gt;100",(AG9/AF9-1)*100))))</f>
        <v>-38.150289017341045</v>
      </c>
      <c r="AI9" s="121">
        <f>W9</f>
        <v>182</v>
      </c>
      <c r="AJ9" s="122">
        <f>AA9</f>
        <v>82</v>
      </c>
      <c r="AK9" s="121">
        <f>IF(AND(AJ9=0,AI9=0),0,IF(OR(AND(AJ9&gt;0,AI9&lt;=0),AND(AJ9&lt;0,AI9&gt;=0)),"nm",IF(AND(AJ9&lt;0,AI9&lt;0),IF(-(AJ9/AI9-1)*100&lt;-100,"(&gt;100)",-(AJ9/AI9-1)*100),IF((AJ9/AI9-1)*100&gt;100,"&gt;100",(AJ9/AI9-1)*100))))</f>
        <v>-54.94505494505495</v>
      </c>
    </row>
    <row r="10" spans="1:37" s="18" customFormat="1" ht="15">
      <c r="A10" s="58" t="s">
        <v>148</v>
      </c>
      <c r="D10" s="104"/>
      <c r="E10" s="17"/>
      <c r="F10" s="17"/>
      <c r="G10" s="17"/>
      <c r="H10" s="17"/>
      <c r="I10" s="17"/>
      <c r="J10" s="17"/>
      <c r="K10" s="17"/>
      <c r="L10" s="17"/>
      <c r="M10" s="17"/>
      <c r="N10" s="17"/>
      <c r="O10" s="17"/>
      <c r="P10" s="17"/>
      <c r="Q10" s="17"/>
      <c r="R10" s="17"/>
      <c r="S10" s="17"/>
      <c r="T10" s="17"/>
      <c r="U10" s="17"/>
      <c r="V10" s="17"/>
      <c r="W10" s="17"/>
      <c r="X10" s="17"/>
      <c r="Y10" s="17"/>
      <c r="Z10" s="17"/>
      <c r="AA10" s="17"/>
      <c r="AB10" s="572"/>
      <c r="AC10" s="17"/>
      <c r="AD10" s="17"/>
      <c r="AE10" s="15"/>
      <c r="AF10" s="17"/>
      <c r="AG10" s="572"/>
      <c r="AH10" s="17"/>
      <c r="AI10" s="17"/>
      <c r="AJ10" s="125"/>
      <c r="AK10" s="17"/>
    </row>
    <row r="11" spans="1:37" ht="14.25">
      <c r="A11" s="10"/>
      <c r="B11" s="22" t="s">
        <v>149</v>
      </c>
      <c r="C11" s="22"/>
      <c r="D11" s="131">
        <v>1328</v>
      </c>
      <c r="E11" s="75">
        <v>2155</v>
      </c>
      <c r="F11" s="75">
        <v>2086</v>
      </c>
      <c r="G11" s="75">
        <v>1526</v>
      </c>
      <c r="H11" s="121">
        <v>1405</v>
      </c>
      <c r="J11" s="131">
        <v>1931</v>
      </c>
      <c r="K11" s="75">
        <v>2816</v>
      </c>
      <c r="L11" s="75">
        <v>2476</v>
      </c>
      <c r="M11" s="75">
        <v>2155</v>
      </c>
      <c r="N11" s="75">
        <v>2078</v>
      </c>
      <c r="O11" s="75">
        <v>1798</v>
      </c>
      <c r="P11" s="75">
        <v>2013</v>
      </c>
      <c r="Q11" s="75">
        <v>2086</v>
      </c>
      <c r="R11" s="75">
        <v>2091</v>
      </c>
      <c r="S11" s="75">
        <v>1907</v>
      </c>
      <c r="T11" s="75">
        <v>1516</v>
      </c>
      <c r="U11" s="75">
        <v>1526</v>
      </c>
      <c r="V11" s="75">
        <v>1560</v>
      </c>
      <c r="W11" s="75">
        <v>1584</v>
      </c>
      <c r="X11" s="75">
        <v>1519</v>
      </c>
      <c r="Y11" s="75">
        <v>1405</v>
      </c>
      <c r="Z11" s="121">
        <v>1474</v>
      </c>
      <c r="AA11" s="121">
        <v>1620</v>
      </c>
      <c r="AB11" s="575">
        <v>1846</v>
      </c>
      <c r="AC11" s="75">
        <f>IF(AND(AB11=0,AB11=0),0,IF(OR(AND(AB11&gt;0,AA11&lt;=0),AND(AB11&lt;0,AA11&gt;=0)),"nm",IF(AND(AB11&lt;0,AA11&lt;0),IF(-(AB11/AA11-1)*100&lt;-100,"(&gt;100)",-(AB11/AA11-1)*100),IF((AB11/AA11-1)*100&gt;100,"&gt;100",(AB11/AA11-1)*100))))</f>
        <v>13.950617283950617</v>
      </c>
      <c r="AD11" s="75">
        <f>IF(AND(AB11=0,X11=0),0,IF(OR(AND(AB11&gt;0,X11&lt;=0),AND(AB11&lt;0,X11&gt;=0)),"nm",IF(AND(AB11&lt;0,X11&lt;0),IF(-(AB11/X11-1)*100&lt;-100,"(&gt;100)",-(AB11/X11-1)*100),IF((AB11/X11-1)*100&gt;100,"&gt;100",(AB11/X11-1)*100))))</f>
        <v>21.527320605661625</v>
      </c>
      <c r="AF11" s="75">
        <v>1519</v>
      </c>
      <c r="AG11" s="575">
        <v>1846</v>
      </c>
      <c r="AH11" s="75">
        <f>IF(AND(AG11=0,AF11=0),0,IF(OR(AND(AG11&gt;0,AF11&lt;=0),AND(AG11&lt;0,AF11&gt;=0)),"nm",IF(AND(AG11&lt;0,AF11&lt;0),IF(-(AG11/AF11-1)*100&lt;-100,"(&gt;100)",-(AG11/AF11-1)*100),IF((AG11/AF11-1)*100&gt;100,"&gt;100",(AG11/AF11-1)*100))))</f>
        <v>21.527320605661625</v>
      </c>
      <c r="AI11" s="121">
        <f>W11</f>
        <v>1584</v>
      </c>
      <c r="AJ11" s="122">
        <f>AA11</f>
        <v>1620</v>
      </c>
      <c r="AK11" s="121">
        <f>IF(AND(AJ11=0,AI11=0),0,IF(OR(AND(AJ11&gt;0,AI11&lt;=0),AND(AJ11&lt;0,AI11&gt;=0)),"nm",IF(AND(AJ11&lt;0,AI11&lt;0),IF(-(AJ11/AI11-1)*100&lt;-100,"(&gt;100)",-(AJ11/AI11-1)*100),IF((AJ11/AI11-1)*100&gt;100,"&gt;100",(AJ11/AI11-1)*100))))</f>
        <v>2.2727272727272707</v>
      </c>
    </row>
    <row r="12" spans="1:37" ht="14.25">
      <c r="A12" s="10"/>
      <c r="B12" s="22" t="s">
        <v>150</v>
      </c>
      <c r="C12" s="22"/>
      <c r="D12" s="131">
        <v>800</v>
      </c>
      <c r="E12" s="75">
        <v>1431</v>
      </c>
      <c r="F12" s="75">
        <v>737</v>
      </c>
      <c r="G12" s="75">
        <v>985</v>
      </c>
      <c r="H12" s="121">
        <v>752</v>
      </c>
      <c r="J12" s="75">
        <v>950</v>
      </c>
      <c r="K12" s="75">
        <v>791</v>
      </c>
      <c r="L12" s="75">
        <v>830</v>
      </c>
      <c r="M12" s="75">
        <v>1431</v>
      </c>
      <c r="N12" s="75">
        <v>1311</v>
      </c>
      <c r="O12" s="75">
        <v>1390</v>
      </c>
      <c r="P12" s="75">
        <v>993</v>
      </c>
      <c r="Q12" s="75">
        <v>737</v>
      </c>
      <c r="R12" s="75">
        <v>622</v>
      </c>
      <c r="S12" s="75">
        <v>596</v>
      </c>
      <c r="T12" s="75">
        <v>890</v>
      </c>
      <c r="U12" s="75">
        <v>985</v>
      </c>
      <c r="V12" s="75">
        <v>969</v>
      </c>
      <c r="W12" s="75">
        <v>990</v>
      </c>
      <c r="X12" s="75">
        <v>947</v>
      </c>
      <c r="Y12" s="75">
        <v>752</v>
      </c>
      <c r="Z12" s="121">
        <v>724</v>
      </c>
      <c r="AA12" s="121">
        <v>983</v>
      </c>
      <c r="AB12" s="575">
        <v>863</v>
      </c>
      <c r="AC12" s="75">
        <f>IF(AND(AB12=0,AB12=0),0,IF(OR(AND(AB12&gt;0,AA12&lt;=0),AND(AB12&lt;0,AA12&gt;=0)),"nm",IF(AND(AB12&lt;0,AA12&lt;0),IF(-(AB12/AA12-1)*100&lt;-100,"(&gt;100)",-(AB12/AA12-1)*100),IF((AB12/AA12-1)*100&gt;100,"&gt;100",(AB12/AA12-1)*100))))</f>
        <v>-12.207527975584942</v>
      </c>
      <c r="AD12" s="75">
        <f>IF(AND(AB12=0,X12=0),0,IF(OR(AND(AB12&gt;0,X12&lt;=0),AND(AB12&lt;0,X12&gt;=0)),"nm",IF(AND(AB12&lt;0,X12&lt;0),IF(-(AB12/X12-1)*100&lt;-100,"(&gt;100)",-(AB12/X12-1)*100),IF((AB12/X12-1)*100&gt;100,"&gt;100",(AB12/X12-1)*100))))</f>
        <v>-8.870116156283004</v>
      </c>
      <c r="AF12" s="75">
        <v>947</v>
      </c>
      <c r="AG12" s="575">
        <v>863</v>
      </c>
      <c r="AH12" s="75">
        <f>IF(AND(AG12=0,AF12=0),0,IF(OR(AND(AG12&gt;0,AF12&lt;=0),AND(AG12&lt;0,AF12&gt;=0)),"nm",IF(AND(AG12&lt;0,AF12&lt;0),IF(-(AG12/AF12-1)*100&lt;-100,"(&gt;100)",-(AG12/AF12-1)*100),IF((AG12/AF12-1)*100&gt;100,"&gt;100",(AG12/AF12-1)*100))))</f>
        <v>-8.870116156283004</v>
      </c>
      <c r="AI12" s="121">
        <f>W12</f>
        <v>990</v>
      </c>
      <c r="AJ12" s="122">
        <f>AA12</f>
        <v>983</v>
      </c>
      <c r="AK12" s="121">
        <f>IF(AND(AJ12=0,AI12=0),0,IF(OR(AND(AJ12&gt;0,AI12&lt;=0),AND(AJ12&lt;0,AI12&gt;=0)),"nm",IF(AND(AJ12&lt;0,AI12&lt;0),IF(-(AJ12/AI12-1)*100&lt;-100,"(&gt;100)",-(AJ12/AI12-1)*100),IF((AJ12/AI12-1)*100&gt;100,"&gt;100",(AJ12/AI12-1)*100))))</f>
        <v>-0.7070707070707116</v>
      </c>
    </row>
    <row r="13" spans="1:37" ht="14.25">
      <c r="A13" s="10"/>
      <c r="B13" s="22" t="s">
        <v>151</v>
      </c>
      <c r="C13" s="22"/>
      <c r="D13" s="131">
        <v>264</v>
      </c>
      <c r="E13" s="75">
        <v>633</v>
      </c>
      <c r="F13" s="75">
        <v>390</v>
      </c>
      <c r="G13" s="75">
        <v>393</v>
      </c>
      <c r="H13" s="121">
        <v>569</v>
      </c>
      <c r="J13" s="131">
        <v>352</v>
      </c>
      <c r="K13" s="75">
        <v>444</v>
      </c>
      <c r="L13" s="75">
        <v>517</v>
      </c>
      <c r="M13" s="75">
        <v>633</v>
      </c>
      <c r="N13" s="75">
        <v>679</v>
      </c>
      <c r="O13" s="75">
        <v>536</v>
      </c>
      <c r="P13" s="75">
        <v>499</v>
      </c>
      <c r="Q13" s="75">
        <v>390</v>
      </c>
      <c r="R13" s="75">
        <v>385</v>
      </c>
      <c r="S13" s="75">
        <v>380</v>
      </c>
      <c r="T13" s="75">
        <v>374</v>
      </c>
      <c r="U13" s="75">
        <v>393</v>
      </c>
      <c r="V13" s="75">
        <v>379</v>
      </c>
      <c r="W13" s="75">
        <v>382</v>
      </c>
      <c r="X13" s="75">
        <v>369</v>
      </c>
      <c r="Y13" s="75">
        <v>569</v>
      </c>
      <c r="Z13" s="121">
        <v>569</v>
      </c>
      <c r="AA13" s="121">
        <v>363</v>
      </c>
      <c r="AB13" s="575">
        <v>345</v>
      </c>
      <c r="AC13" s="75">
        <f>IF(AND(AB13=0,AB13=0),0,IF(OR(AND(AB13&gt;0,AA13&lt;=0),AND(AB13&lt;0,AA13&gt;=0)),"nm",IF(AND(AB13&lt;0,AA13&lt;0),IF(-(AB13/AA13-1)*100&lt;-100,"(&gt;100)",-(AB13/AA13-1)*100),IF((AB13/AA13-1)*100&gt;100,"&gt;100",(AB13/AA13-1)*100))))</f>
        <v>-4.958677685950407</v>
      </c>
      <c r="AD13" s="75">
        <f>IF(AND(AB13=0,X13=0),0,IF(OR(AND(AB13&gt;0,X13&lt;=0),AND(AB13&lt;0,X13&gt;=0)),"nm",IF(AND(AB13&lt;0,X13&lt;0),IF(-(AB13/X13-1)*100&lt;-100,"(&gt;100)",-(AB13/X13-1)*100),IF((AB13/X13-1)*100&gt;100,"&gt;100",(AB13/X13-1)*100))))</f>
        <v>-6.504065040650408</v>
      </c>
      <c r="AF13" s="75">
        <v>369</v>
      </c>
      <c r="AG13" s="575">
        <v>345</v>
      </c>
      <c r="AH13" s="75">
        <f>IF(AND(AG13=0,AF13=0),0,IF(OR(AND(AG13&gt;0,AF13&lt;=0),AND(AG13&lt;0,AF13&gt;=0)),"nm",IF(AND(AG13&lt;0,AF13&lt;0),IF(-(AG13/AF13-1)*100&lt;-100,"(&gt;100)",-(AG13/AF13-1)*100),IF((AG13/AF13-1)*100&gt;100,"&gt;100",(AG13/AF13-1)*100))))</f>
        <v>-6.504065040650408</v>
      </c>
      <c r="AI13" s="121">
        <f>W13</f>
        <v>382</v>
      </c>
      <c r="AJ13" s="122">
        <f>AA13</f>
        <v>363</v>
      </c>
      <c r="AK13" s="121">
        <f>IF(AND(AJ13=0,AI13=0),0,IF(OR(AND(AJ13&gt;0,AI13&lt;=0),AND(AJ13&lt;0,AI13&gt;=0)),"nm",IF(AND(AJ13&lt;0,AI13&lt;0),IF(-(AJ13/AI13-1)*100&lt;-100,"(&gt;100)",-(AJ13/AI13-1)*100),IF((AJ13/AI13-1)*100&gt;100,"&gt;100",(AJ13/AI13-1)*100))))</f>
        <v>-4.973821989528792</v>
      </c>
    </row>
    <row r="14" spans="1:37" s="18" customFormat="1" ht="15">
      <c r="A14" s="58" t="s">
        <v>152</v>
      </c>
      <c r="C14" s="22"/>
      <c r="D14" s="104"/>
      <c r="E14" s="17"/>
      <c r="F14" s="17"/>
      <c r="G14" s="17"/>
      <c r="H14" s="17"/>
      <c r="I14" s="17"/>
      <c r="J14" s="17"/>
      <c r="K14" s="17"/>
      <c r="L14" s="17"/>
      <c r="M14" s="17"/>
      <c r="N14" s="17"/>
      <c r="O14" s="17"/>
      <c r="P14" s="17"/>
      <c r="Q14" s="17"/>
      <c r="R14" s="17"/>
      <c r="S14" s="17"/>
      <c r="T14" s="17"/>
      <c r="U14" s="17"/>
      <c r="V14" s="17"/>
      <c r="W14" s="17"/>
      <c r="X14" s="17"/>
      <c r="Y14" s="17"/>
      <c r="Z14" s="437"/>
      <c r="AA14" s="17"/>
      <c r="AB14" s="572"/>
      <c r="AC14" s="17"/>
      <c r="AD14" s="17"/>
      <c r="AE14" s="15"/>
      <c r="AF14" s="17"/>
      <c r="AG14" s="572"/>
      <c r="AH14" s="17"/>
      <c r="AI14" s="17"/>
      <c r="AJ14" s="125"/>
      <c r="AK14" s="17"/>
    </row>
    <row r="15" spans="2:37" ht="14.25">
      <c r="B15" s="22" t="s">
        <v>153</v>
      </c>
      <c r="C15" s="22"/>
      <c r="D15" s="131">
        <v>556</v>
      </c>
      <c r="E15" s="75">
        <v>540</v>
      </c>
      <c r="F15" s="75">
        <v>250</v>
      </c>
      <c r="G15" s="75">
        <v>355</v>
      </c>
      <c r="H15" s="121">
        <v>269</v>
      </c>
      <c r="J15" s="75">
        <v>817</v>
      </c>
      <c r="K15" s="75">
        <v>800</v>
      </c>
      <c r="L15" s="75">
        <v>629</v>
      </c>
      <c r="M15" s="75">
        <v>540</v>
      </c>
      <c r="N15" s="75">
        <v>520</v>
      </c>
      <c r="O15" s="75">
        <v>349</v>
      </c>
      <c r="P15" s="75">
        <v>284</v>
      </c>
      <c r="Q15" s="75">
        <v>250</v>
      </c>
      <c r="R15" s="75">
        <v>274</v>
      </c>
      <c r="S15" s="75">
        <v>269</v>
      </c>
      <c r="T15" s="75">
        <v>335</v>
      </c>
      <c r="U15" s="75">
        <v>355</v>
      </c>
      <c r="V15" s="75">
        <v>373</v>
      </c>
      <c r="W15" s="75">
        <v>353</v>
      </c>
      <c r="X15" s="75">
        <v>330</v>
      </c>
      <c r="Y15" s="75">
        <v>269</v>
      </c>
      <c r="Z15" s="121">
        <v>297</v>
      </c>
      <c r="AA15" s="121">
        <v>343</v>
      </c>
      <c r="AB15" s="575">
        <v>377</v>
      </c>
      <c r="AC15" s="75">
        <f>IF(AND(AB15=0,AB15=0),0,IF(OR(AND(AB15&gt;0,AA15&lt;=0),AND(AB15&lt;0,AA15&gt;=0)),"nm",IF(AND(AB15&lt;0,AA15&lt;0),IF(-(AB15/AA15-1)*100&lt;-100,"(&gt;100)",-(AB15/AA15-1)*100),IF((AB15/AA15-1)*100&gt;100,"&gt;100",(AB15/AA15-1)*100))))</f>
        <v>9.912536443148689</v>
      </c>
      <c r="AD15" s="75">
        <f>IF(AND(AB15=0,X15=0),0,IF(OR(AND(AB15&gt;0,X15&lt;=0),AND(AB15&lt;0,X15&gt;=0)),"nm",IF(AND(AB15&lt;0,X15&lt;0),IF(-(AB15/X15-1)*100&lt;-100,"(&gt;100)",-(AB15/X15-1)*100),IF((AB15/X15-1)*100&gt;100,"&gt;100",(AB15/X15-1)*100))))</f>
        <v>14.242424242424235</v>
      </c>
      <c r="AF15" s="75">
        <v>330</v>
      </c>
      <c r="AG15" s="575">
        <v>377</v>
      </c>
      <c r="AH15" s="75">
        <f>IF(AND(AG15=0,AF15=0),0,IF(OR(AND(AG15&gt;0,AF15&lt;=0),AND(AG15&lt;0,AF15&gt;=0)),"nm",IF(AND(AG15&lt;0,AF15&lt;0),IF(-(AG15/AF15-1)*100&lt;-100,"(&gt;100)",-(AG15/AF15-1)*100),IF((AG15/AF15-1)*100&gt;100,"&gt;100",(AG15/AF15-1)*100))))</f>
        <v>14.242424242424235</v>
      </c>
      <c r="AI15" s="121">
        <f>W15</f>
        <v>353</v>
      </c>
      <c r="AJ15" s="122">
        <f>AA15</f>
        <v>343</v>
      </c>
      <c r="AK15" s="121">
        <f>IF(AND(AJ15=0,AI15=0),0,IF(OR(AND(AJ15&gt;0,AI15&lt;=0),AND(AJ15&lt;0,AI15&gt;=0)),"nm",IF(AND(AJ15&lt;0,AI15&lt;0),IF(-(AJ15/AI15-1)*100&lt;-100,"(&gt;100)",-(AJ15/AI15-1)*100),IF((AJ15/AI15-1)*100&gt;100,"&gt;100",(AJ15/AI15-1)*100))))</f>
        <v>-2.832861189801694</v>
      </c>
    </row>
    <row r="16" spans="2:37" ht="14.25">
      <c r="B16" s="22" t="s">
        <v>154</v>
      </c>
      <c r="C16" s="22"/>
      <c r="D16" s="131">
        <v>43</v>
      </c>
      <c r="E16" s="75">
        <v>124</v>
      </c>
      <c r="F16" s="75">
        <v>85</v>
      </c>
      <c r="G16" s="75">
        <v>78</v>
      </c>
      <c r="H16" s="121">
        <v>58</v>
      </c>
      <c r="J16" s="75">
        <v>121</v>
      </c>
      <c r="K16" s="75">
        <v>231</v>
      </c>
      <c r="L16" s="75">
        <v>149</v>
      </c>
      <c r="M16" s="75">
        <v>124</v>
      </c>
      <c r="N16" s="75">
        <v>106</v>
      </c>
      <c r="O16" s="75">
        <v>116</v>
      </c>
      <c r="P16" s="75">
        <v>112</v>
      </c>
      <c r="Q16" s="75">
        <v>85</v>
      </c>
      <c r="R16" s="75">
        <v>99</v>
      </c>
      <c r="S16" s="75">
        <v>106</v>
      </c>
      <c r="T16" s="75">
        <v>83</v>
      </c>
      <c r="U16" s="75">
        <v>78</v>
      </c>
      <c r="V16" s="75">
        <v>74</v>
      </c>
      <c r="W16" s="75">
        <v>74</v>
      </c>
      <c r="X16" s="75">
        <v>62</v>
      </c>
      <c r="Y16" s="75">
        <v>58</v>
      </c>
      <c r="Z16" s="121">
        <v>84</v>
      </c>
      <c r="AA16" s="121">
        <v>145</v>
      </c>
      <c r="AB16" s="575">
        <v>228</v>
      </c>
      <c r="AC16" s="75">
        <f>IF(AND(AB16=0,AB16=0),0,IF(OR(AND(AB16&gt;0,AA16&lt;=0),AND(AB16&lt;0,AA16&gt;=0)),"nm",IF(AND(AB16&lt;0,AA16&lt;0),IF(-(AB16/AA16-1)*100&lt;-100,"(&gt;100)",-(AB16/AA16-1)*100),IF((AB16/AA16-1)*100&gt;100,"&gt;100",(AB16/AA16-1)*100))))</f>
        <v>57.24137931034483</v>
      </c>
      <c r="AD16" s="75" t="str">
        <f>IF(AND(AB16=0,X16=0),0,IF(OR(AND(AB16&gt;0,X16&lt;=0),AND(AB16&lt;0,X16&gt;=0)),"nm",IF(AND(AB16&lt;0,X16&lt;0),IF(-(AB16/X16-1)*100&lt;-100,"(&gt;100)",-(AB16/X16-1)*100),IF((AB16/X16-1)*100&gt;100,"&gt;100",(AB16/X16-1)*100))))</f>
        <v>&gt;100</v>
      </c>
      <c r="AF16" s="75">
        <v>62</v>
      </c>
      <c r="AG16" s="575">
        <v>228</v>
      </c>
      <c r="AH16" s="75" t="str">
        <f>IF(AND(AG16=0,AF16=0),0,IF(OR(AND(AG16&gt;0,AF16&lt;=0),AND(AG16&lt;0,AF16&gt;=0)),"nm",IF(AND(AG16&lt;0,AF16&lt;0),IF(-(AG16/AF16-1)*100&lt;-100,"(&gt;100)",-(AG16/AF16-1)*100),IF((AG16/AF16-1)*100&gt;100,"&gt;100",(AG16/AF16-1)*100))))</f>
        <v>&gt;100</v>
      </c>
      <c r="AI16" s="121">
        <f>W16</f>
        <v>74</v>
      </c>
      <c r="AJ16" s="122">
        <f>AA16</f>
        <v>145</v>
      </c>
      <c r="AK16" s="121">
        <f>IF(AND(AJ16=0,AI16=0),0,IF(OR(AND(AJ16&gt;0,AI16&lt;=0),AND(AJ16&lt;0,AI16&gt;=0)),"nm",IF(AND(AJ16&lt;0,AI16&lt;0),IF(-(AJ16/AI16-1)*100&lt;-100,"(&gt;100)",-(AJ16/AI16-1)*100),IF((AJ16/AI16-1)*100&gt;100,"&gt;100",(AJ16/AI16-1)*100))))</f>
        <v>95.94594594594594</v>
      </c>
    </row>
    <row r="17" spans="2:37" ht="14.25">
      <c r="B17" s="22" t="s">
        <v>155</v>
      </c>
      <c r="C17" s="22"/>
      <c r="D17" s="131">
        <v>16</v>
      </c>
      <c r="E17" s="75">
        <v>22</v>
      </c>
      <c r="F17" s="75">
        <v>38</v>
      </c>
      <c r="G17" s="75">
        <v>41</v>
      </c>
      <c r="H17" s="121">
        <v>32</v>
      </c>
      <c r="J17" s="75">
        <v>18</v>
      </c>
      <c r="K17" s="75">
        <v>13</v>
      </c>
      <c r="L17" s="75">
        <v>13</v>
      </c>
      <c r="M17" s="75">
        <v>22</v>
      </c>
      <c r="N17" s="75">
        <v>24</v>
      </c>
      <c r="O17" s="75">
        <v>45</v>
      </c>
      <c r="P17" s="75">
        <v>37</v>
      </c>
      <c r="Q17" s="75">
        <v>38</v>
      </c>
      <c r="R17" s="75">
        <v>40</v>
      </c>
      <c r="S17" s="75">
        <v>40</v>
      </c>
      <c r="T17" s="75">
        <v>43</v>
      </c>
      <c r="U17" s="75">
        <v>41</v>
      </c>
      <c r="V17" s="75">
        <v>40</v>
      </c>
      <c r="W17" s="75">
        <v>34</v>
      </c>
      <c r="X17" s="75">
        <v>34</v>
      </c>
      <c r="Y17" s="75">
        <v>32</v>
      </c>
      <c r="Z17" s="121">
        <v>29</v>
      </c>
      <c r="AA17" s="121">
        <v>27</v>
      </c>
      <c r="AB17" s="575">
        <v>35</v>
      </c>
      <c r="AC17" s="75">
        <f>IF(AND(AB17=0,AB17=0),0,IF(OR(AND(AB17&gt;0,AA17&lt;=0),AND(AB17&lt;0,AA17&gt;=0)),"nm",IF(AND(AB17&lt;0,AA17&lt;0),IF(-(AB17/AA17-1)*100&lt;-100,"(&gt;100)",-(AB17/AA17-1)*100),IF((AB17/AA17-1)*100&gt;100,"&gt;100",(AB17/AA17-1)*100))))</f>
        <v>29.629629629629626</v>
      </c>
      <c r="AD17" s="75">
        <f>IF(AND(AB17=0,X17=0),0,IF(OR(AND(AB17&gt;0,X17&lt;=0),AND(AB17&lt;0,X17&gt;=0)),"nm",IF(AND(AB17&lt;0,X17&lt;0),IF(-(AB17/X17-1)*100&lt;-100,"(&gt;100)",-(AB17/X17-1)*100),IF((AB17/X17-1)*100&gt;100,"&gt;100",(AB17/X17-1)*100))))</f>
        <v>2.941176470588225</v>
      </c>
      <c r="AF17" s="75">
        <v>34</v>
      </c>
      <c r="AG17" s="575">
        <v>35</v>
      </c>
      <c r="AH17" s="75">
        <f>IF(AND(AG17=0,AF17=0),0,IF(OR(AND(AG17&gt;0,AF17&lt;=0),AND(AG17&lt;0,AF17&gt;=0)),"nm",IF(AND(AG17&lt;0,AF17&lt;0),IF(-(AG17/AF17-1)*100&lt;-100,"(&gt;100)",-(AG17/AF17-1)*100),IF((AG17/AF17-1)*100&gt;100,"&gt;100",(AG17/AF17-1)*100))))</f>
        <v>2.941176470588225</v>
      </c>
      <c r="AI17" s="121">
        <f>W17</f>
        <v>34</v>
      </c>
      <c r="AJ17" s="122">
        <f>AA17</f>
        <v>27</v>
      </c>
      <c r="AK17" s="121">
        <f>IF(AND(AJ17=0,AI17=0),0,IF(OR(AND(AJ17&gt;0,AI17&lt;=0),AND(AJ17&lt;0,AI17&gt;=0)),"nm",IF(AND(AJ17&lt;0,AI17&lt;0),IF(-(AJ17/AI17-1)*100&lt;-100,"(&gt;100)",-(AJ17/AI17-1)*100),IF((AJ17/AI17-1)*100&gt;100,"&gt;100",(AJ17/AI17-1)*100))))</f>
        <v>-20.588235294117652</v>
      </c>
    </row>
    <row r="18" spans="2:37" ht="14.25">
      <c r="B18" s="22" t="s">
        <v>156</v>
      </c>
      <c r="C18" s="22"/>
      <c r="D18" s="131">
        <v>223</v>
      </c>
      <c r="E18" s="75">
        <v>300</v>
      </c>
      <c r="F18" s="75">
        <v>317</v>
      </c>
      <c r="G18" s="75">
        <v>213</v>
      </c>
      <c r="H18" s="121">
        <v>252</v>
      </c>
      <c r="J18" s="75">
        <v>259</v>
      </c>
      <c r="K18" s="75">
        <v>266</v>
      </c>
      <c r="L18" s="75">
        <v>349</v>
      </c>
      <c r="M18" s="75">
        <v>300</v>
      </c>
      <c r="N18" s="75">
        <v>285</v>
      </c>
      <c r="O18" s="75">
        <v>242</v>
      </c>
      <c r="P18" s="75">
        <v>346</v>
      </c>
      <c r="Q18" s="75">
        <v>317</v>
      </c>
      <c r="R18" s="75">
        <v>310</v>
      </c>
      <c r="S18" s="75">
        <v>258</v>
      </c>
      <c r="T18" s="75">
        <v>135</v>
      </c>
      <c r="U18" s="75">
        <v>213</v>
      </c>
      <c r="V18" s="75">
        <v>257</v>
      </c>
      <c r="W18" s="75">
        <v>261</v>
      </c>
      <c r="X18" s="75">
        <v>247</v>
      </c>
      <c r="Y18" s="75">
        <v>252</v>
      </c>
      <c r="Z18" s="121">
        <v>262</v>
      </c>
      <c r="AA18" s="121">
        <v>261</v>
      </c>
      <c r="AB18" s="575">
        <v>247</v>
      </c>
      <c r="AC18" s="75">
        <f>IF(AND(AB18=0,AB18=0),0,IF(OR(AND(AB18&gt;0,AA18&lt;=0),AND(AB18&lt;0,AA18&gt;=0)),"nm",IF(AND(AB18&lt;0,AA18&lt;0),IF(-(AB18/AA18-1)*100&lt;-100,"(&gt;100)",-(AB18/AA18-1)*100),IF((AB18/AA18-1)*100&gt;100,"&gt;100",(AB18/AA18-1)*100))))</f>
        <v>-5.363984674329503</v>
      </c>
      <c r="AD18" s="75">
        <f>IF(AND(AB18=0,X18=0),0,IF(OR(AND(AB18&gt;0,X18&lt;=0),AND(AB18&lt;0,X18&gt;=0)),"nm",IF(AND(AB18&lt;0,X18&lt;0),IF(-(AB18/X18-1)*100&lt;-100,"(&gt;100)",-(AB18/X18-1)*100),IF((AB18/X18-1)*100&gt;100,"&gt;100",(AB18/X18-1)*100))))</f>
        <v>0</v>
      </c>
      <c r="AF18" s="75">
        <v>247</v>
      </c>
      <c r="AG18" s="575">
        <v>247</v>
      </c>
      <c r="AH18" s="75">
        <f>IF(AND(AG18=0,AF18=0),0,IF(OR(AND(AG18&gt;0,AF18&lt;=0),AND(AG18&lt;0,AF18&gt;=0)),"nm",IF(AND(AG18&lt;0,AF18&lt;0),IF(-(AG18/AF18-1)*100&lt;-100,"(&gt;100)",-(AG18/AF18-1)*100),IF((AG18/AF18-1)*100&gt;100,"&gt;100",(AG18/AF18-1)*100))))</f>
        <v>0</v>
      </c>
      <c r="AI18" s="121">
        <f>W18</f>
        <v>261</v>
      </c>
      <c r="AJ18" s="122">
        <f>AA18</f>
        <v>261</v>
      </c>
      <c r="AK18" s="121">
        <f>IF(AND(AJ18=0,AI18=0),0,IF(OR(AND(AJ18&gt;0,AI18&lt;=0),AND(AJ18&lt;0,AI18&gt;=0)),"nm",IF(AND(AJ18&lt;0,AI18&lt;0),IF(-(AJ18/AI18-1)*100&lt;-100,"(&gt;100)",-(AJ18/AI18-1)*100),IF((AJ18/AI18-1)*100&gt;100,"&gt;100",(AJ18/AI18-1)*100))))</f>
        <v>0</v>
      </c>
    </row>
    <row r="19" spans="2:37" ht="14.25">
      <c r="B19" s="22" t="s">
        <v>100</v>
      </c>
      <c r="C19" s="22"/>
      <c r="D19" s="131">
        <f>D5-D15-D16-D17-D18</f>
        <v>1554</v>
      </c>
      <c r="E19" s="75">
        <f>E5-E15-E16-E17-E18</f>
        <v>3233</v>
      </c>
      <c r="F19" s="75">
        <v>2523</v>
      </c>
      <c r="G19" s="75">
        <v>2217</v>
      </c>
      <c r="H19" s="121">
        <v>2115</v>
      </c>
      <c r="J19" s="75">
        <v>2018</v>
      </c>
      <c r="K19" s="75">
        <f>K5-K15-K16-K17-K18</f>
        <v>2741</v>
      </c>
      <c r="L19" s="75">
        <v>2683</v>
      </c>
      <c r="M19" s="75">
        <v>3233</v>
      </c>
      <c r="N19" s="75">
        <v>3133</v>
      </c>
      <c r="O19" s="75">
        <v>2972</v>
      </c>
      <c r="P19" s="75">
        <v>2726</v>
      </c>
      <c r="Q19" s="75">
        <v>2523</v>
      </c>
      <c r="R19" s="75">
        <v>2375</v>
      </c>
      <c r="S19" s="75">
        <v>2210</v>
      </c>
      <c r="T19" s="75">
        <v>2184</v>
      </c>
      <c r="U19" s="75">
        <v>2217</v>
      </c>
      <c r="V19" s="75">
        <v>2164</v>
      </c>
      <c r="W19" s="75">
        <v>2234</v>
      </c>
      <c r="X19" s="75">
        <v>2162</v>
      </c>
      <c r="Y19" s="75">
        <v>2115</v>
      </c>
      <c r="Z19" s="121">
        <v>2095</v>
      </c>
      <c r="AA19" s="121">
        <v>2190</v>
      </c>
      <c r="AB19" s="575">
        <v>2167</v>
      </c>
      <c r="AC19" s="75">
        <f>IF(AND(AB19=0,AB19=0),0,IF(OR(AND(AB19&gt;0,AA19&lt;=0),AND(AB19&lt;0,AA19&gt;=0)),"nm",IF(AND(AB19&lt;0,AA19&lt;0),IF(-(AB19/AA19-1)*100&lt;-100,"(&gt;100)",-(AB19/AA19-1)*100),IF((AB19/AA19-1)*100&gt;100,"&gt;100",(AB19/AA19-1)*100))))</f>
        <v>-1.050228310502288</v>
      </c>
      <c r="AD19" s="75">
        <f>IF(AND(AB19=0,X19=0),0,IF(OR(AND(AB19&gt;0,X19&lt;=0),AND(AB19&lt;0,X19&gt;=0)),"nm",IF(AND(AB19&lt;0,X19&lt;0),IF(-(AB19/X19-1)*100&lt;-100,"(&gt;100)",-(AB19/X19-1)*100),IF((AB19/X19-1)*100&gt;100,"&gt;100",(AB19/X19-1)*100))))</f>
        <v>0.23126734505087843</v>
      </c>
      <c r="AF19" s="75">
        <v>2162</v>
      </c>
      <c r="AG19" s="575">
        <v>2167</v>
      </c>
      <c r="AH19" s="75">
        <f>IF(AND(AG19=0,AF19=0),0,IF(OR(AND(AG19&gt;0,AF19&lt;=0),AND(AG19&lt;0,AF19&gt;=0)),"nm",IF(AND(AG19&lt;0,AF19&lt;0),IF(-(AG19/AF19-1)*100&lt;-100,"(&gt;100)",-(AG19/AF19-1)*100),IF((AG19/AF19-1)*100&gt;100,"&gt;100",(AG19/AF19-1)*100))))</f>
        <v>0.23126734505087843</v>
      </c>
      <c r="AI19" s="121">
        <f>W19</f>
        <v>2234</v>
      </c>
      <c r="AJ19" s="122">
        <f>AA19</f>
        <v>2190</v>
      </c>
      <c r="AK19" s="121">
        <f>IF(AND(AJ19=0,AI19=0),0,IF(OR(AND(AJ19&gt;0,AI19&lt;=0),AND(AJ19&lt;0,AI19&gt;=0)),"nm",IF(AND(AJ19&lt;0,AI19&lt;0),IF(-(AJ19/AI19-1)*100&lt;-100,"(&gt;100)",-(AJ19/AI19-1)*100),IF((AJ19/AI19-1)*100&gt;100,"&gt;100",(AJ19/AI19-1)*100))))</f>
        <v>-1.96956132497762</v>
      </c>
    </row>
    <row r="20" spans="1:33" ht="14.25">
      <c r="A20" s="58" t="s">
        <v>160</v>
      </c>
      <c r="C20" s="22"/>
      <c r="D20" s="131"/>
      <c r="H20" s="121"/>
      <c r="Z20" s="436"/>
      <c r="AA20" s="121"/>
      <c r="AB20" s="575"/>
      <c r="AG20" s="575"/>
    </row>
    <row r="21" spans="2:37" ht="14.25">
      <c r="B21" s="22" t="s">
        <v>161</v>
      </c>
      <c r="C21" s="22"/>
      <c r="D21" s="131">
        <v>857</v>
      </c>
      <c r="E21" s="75">
        <v>1802</v>
      </c>
      <c r="F21" s="75">
        <v>1294</v>
      </c>
      <c r="G21" s="75">
        <v>1161</v>
      </c>
      <c r="H21" s="121">
        <v>1245</v>
      </c>
      <c r="J21" s="75">
        <v>1107</v>
      </c>
      <c r="K21" s="75">
        <v>1547</v>
      </c>
      <c r="L21" s="75">
        <v>1313</v>
      </c>
      <c r="M21" s="75">
        <v>1802</v>
      </c>
      <c r="N21" s="75">
        <v>1653</v>
      </c>
      <c r="O21" s="75">
        <v>969</v>
      </c>
      <c r="P21" s="75">
        <v>1323</v>
      </c>
      <c r="Q21" s="75">
        <v>1294</v>
      </c>
      <c r="R21" s="75">
        <v>1178</v>
      </c>
      <c r="S21" s="75">
        <v>1592</v>
      </c>
      <c r="T21" s="75">
        <v>1019</v>
      </c>
      <c r="U21" s="75">
        <v>1161</v>
      </c>
      <c r="V21" s="75">
        <v>1062</v>
      </c>
      <c r="W21" s="75">
        <v>970</v>
      </c>
      <c r="X21" s="75">
        <v>877</v>
      </c>
      <c r="Y21" s="75">
        <v>1245</v>
      </c>
      <c r="Z21" s="121">
        <v>1203</v>
      </c>
      <c r="AA21" s="121">
        <v>1244</v>
      </c>
      <c r="AB21" s="575">
        <v>1292</v>
      </c>
      <c r="AC21" s="75">
        <f>IF(AND(AB21=0,AB21=0),0,IF(OR(AND(AB21&gt;0,AA21&lt;=0),AND(AB21&lt;0,AA21&gt;=0)),"nm",IF(AND(AB21&lt;0,AA21&lt;0),IF(-(AB21/AA21-1)*100&lt;-100,"(&gt;100)",-(AB21/AA21-1)*100),IF((AB21/AA21-1)*100&gt;100,"&gt;100",(AB21/AA21-1)*100))))</f>
        <v>3.8585209003215493</v>
      </c>
      <c r="AD21" s="75">
        <f>IF(AND(AB21=0,X21=0),0,IF(OR(AND(AB21&gt;0,X21&lt;=0),AND(AB21&lt;0,X21&gt;=0)),"nm",IF(AND(AB21&lt;0,X21&lt;0),IF(-(AB21/X21-1)*100&lt;-100,"(&gt;100)",-(AB21/X21-1)*100),IF((AB21/X21-1)*100&gt;100,"&gt;100",(AB21/X21-1)*100))))</f>
        <v>47.320410490307864</v>
      </c>
      <c r="AF21" s="75">
        <v>877</v>
      </c>
      <c r="AG21" s="575">
        <v>1292</v>
      </c>
      <c r="AH21" s="75">
        <f>IF(AND(AG21=0,AF21=0),0,IF(OR(AND(AG21&gt;0,AF21&lt;=0),AND(AG21&lt;0,AF21&gt;=0)),"nm",IF(AND(AG21&lt;0,AF21&lt;0),IF(-(AG21/AF21-1)*100&lt;-100,"(&gt;100)",-(AG21/AF21-1)*100),IF((AG21/AF21-1)*100&gt;100,"&gt;100",(AG21/AF21-1)*100))))</f>
        <v>47.320410490307864</v>
      </c>
      <c r="AI21" s="121">
        <f>W21</f>
        <v>970</v>
      </c>
      <c r="AJ21" s="122">
        <f>AA21</f>
        <v>1244</v>
      </c>
      <c r="AK21" s="121">
        <f>IF(AND(AJ21=0,AI21=0),0,IF(OR(AND(AJ21&gt;0,AI21&lt;=0),AND(AJ21&lt;0,AI21&gt;=0)),"nm",IF(AND(AJ21&lt;0,AI21&lt;0),IF(-(AJ21/AI21-1)*100&lt;-100,"(&gt;100)",-(AJ21/AI21-1)*100),IF((AJ21/AI21-1)*100&gt;100,"&gt;100",(AJ21/AI21-1)*100))))</f>
        <v>28.24742268041238</v>
      </c>
    </row>
    <row r="22" spans="2:37" ht="14.25">
      <c r="B22" s="22" t="s">
        <v>162</v>
      </c>
      <c r="C22" s="22"/>
      <c r="D22" s="131">
        <v>463</v>
      </c>
      <c r="E22" s="75">
        <v>358</v>
      </c>
      <c r="F22" s="75">
        <v>225</v>
      </c>
      <c r="G22" s="75">
        <v>169</v>
      </c>
      <c r="H22" s="121">
        <v>297</v>
      </c>
      <c r="J22" s="75">
        <v>589</v>
      </c>
      <c r="K22" s="75">
        <v>1036</v>
      </c>
      <c r="L22" s="75">
        <v>648</v>
      </c>
      <c r="M22" s="75">
        <v>358</v>
      </c>
      <c r="N22" s="75">
        <v>265</v>
      </c>
      <c r="O22" s="75">
        <v>771</v>
      </c>
      <c r="P22" s="75">
        <v>198</v>
      </c>
      <c r="Q22" s="75">
        <v>225</v>
      </c>
      <c r="R22" s="75">
        <v>328</v>
      </c>
      <c r="S22" s="75">
        <v>221</v>
      </c>
      <c r="T22" s="75">
        <v>675</v>
      </c>
      <c r="U22" s="75">
        <v>169</v>
      </c>
      <c r="V22" s="75">
        <v>324</v>
      </c>
      <c r="W22" s="75">
        <v>473</v>
      </c>
      <c r="X22" s="75">
        <v>360</v>
      </c>
      <c r="Y22" s="75">
        <v>297</v>
      </c>
      <c r="Z22" s="121">
        <v>363</v>
      </c>
      <c r="AA22" s="121">
        <v>249</v>
      </c>
      <c r="AB22" s="575">
        <v>232</v>
      </c>
      <c r="AC22" s="75">
        <f>IF(AND(AB22=0,AB22=0),0,IF(OR(AND(AB22&gt;0,AA22&lt;=0),AND(AB22&lt;0,AA22&gt;=0)),"nm",IF(AND(AB22&lt;0,AA22&lt;0),IF(-(AB22/AA22-1)*100&lt;-100,"(&gt;100)",-(AB22/AA22-1)*100),IF((AB22/AA22-1)*100&gt;100,"&gt;100",(AB22/AA22-1)*100))))</f>
        <v>-6.827309236947787</v>
      </c>
      <c r="AD22" s="75">
        <f>IF(AND(AB22=0,X22=0),0,IF(OR(AND(AB22&gt;0,X22&lt;=0),AND(AB22&lt;0,X22&gt;=0)),"nm",IF(AND(AB22&lt;0,X22&lt;0),IF(-(AB22/X22-1)*100&lt;-100,"(&gt;100)",-(AB22/X22-1)*100),IF((AB22/X22-1)*100&gt;100,"&gt;100",(AB22/X22-1)*100))))</f>
        <v>-35.55555555555555</v>
      </c>
      <c r="AF22" s="75">
        <v>360</v>
      </c>
      <c r="AG22" s="575">
        <v>232</v>
      </c>
      <c r="AH22" s="75">
        <f>IF(AND(AG22=0,AF22=0),0,IF(OR(AND(AG22&gt;0,AF22&lt;=0),AND(AG22&lt;0,AF22&gt;=0)),"nm",IF(AND(AG22&lt;0,AF22&lt;0),IF(-(AG22/AF22-1)*100&lt;-100,"(&gt;100)",-(AG22/AF22-1)*100),IF((AG22/AF22-1)*100&gt;100,"&gt;100",(AG22/AF22-1)*100))))</f>
        <v>-35.55555555555555</v>
      </c>
      <c r="AI22" s="121">
        <f>W22</f>
        <v>473</v>
      </c>
      <c r="AJ22" s="122">
        <f>AA22</f>
        <v>249</v>
      </c>
      <c r="AK22" s="121">
        <f>IF(AND(AJ22=0,AI22=0),0,IF(OR(AND(AJ22&gt;0,AI22&lt;=0),AND(AJ22&lt;0,AI22&gt;=0)),"nm",IF(AND(AJ22&lt;0,AI22&lt;0),IF(-(AJ22/AI22-1)*100&lt;-100,"(&gt;100)",-(AJ22/AI22-1)*100),IF((AJ22/AI22-1)*100&gt;100,"&gt;100",(AJ22/AI22-1)*100))))</f>
        <v>-47.35729386892178</v>
      </c>
    </row>
    <row r="23" spans="2:37" ht="14.25">
      <c r="B23" s="22" t="s">
        <v>163</v>
      </c>
      <c r="C23" s="22"/>
      <c r="D23" s="131">
        <v>326</v>
      </c>
      <c r="E23" s="75">
        <v>113</v>
      </c>
      <c r="F23" s="75">
        <v>124</v>
      </c>
      <c r="G23" s="75">
        <v>607</v>
      </c>
      <c r="H23" s="121">
        <v>193</v>
      </c>
      <c r="J23" s="75">
        <v>495</v>
      </c>
      <c r="K23" s="75">
        <v>468</v>
      </c>
      <c r="L23" s="75">
        <v>655</v>
      </c>
      <c r="M23" s="75">
        <v>113</v>
      </c>
      <c r="N23" s="75">
        <v>245</v>
      </c>
      <c r="O23" s="75">
        <v>141</v>
      </c>
      <c r="P23" s="75">
        <v>655</v>
      </c>
      <c r="Q23" s="75">
        <v>124</v>
      </c>
      <c r="R23" s="75">
        <v>93</v>
      </c>
      <c r="S23" s="75">
        <v>134</v>
      </c>
      <c r="T23" s="75">
        <v>129</v>
      </c>
      <c r="U23" s="75">
        <v>607</v>
      </c>
      <c r="V23" s="75">
        <v>74</v>
      </c>
      <c r="W23" s="75">
        <v>187</v>
      </c>
      <c r="X23" s="75">
        <v>239</v>
      </c>
      <c r="Y23" s="75">
        <v>193</v>
      </c>
      <c r="Z23" s="121">
        <v>271</v>
      </c>
      <c r="AA23" s="121">
        <v>319</v>
      </c>
      <c r="AB23" s="575">
        <v>304</v>
      </c>
      <c r="AC23" s="75">
        <f>IF(AND(AB23=0,AB23=0),0,IF(OR(AND(AB23&gt;0,AA23&lt;=0),AND(AB23&lt;0,AA23&gt;=0)),"nm",IF(AND(AB23&lt;0,AA23&lt;0),IF(-(AB23/AA23-1)*100&lt;-100,"(&gt;100)",-(AB23/AA23-1)*100),IF((AB23/AA23-1)*100&gt;100,"&gt;100",(AB23/AA23-1)*100))))</f>
        <v>-4.702194357366773</v>
      </c>
      <c r="AD23" s="75">
        <f>IF(AND(AB23=0,X23=0),0,IF(OR(AND(AB23&gt;0,X23&lt;=0),AND(AB23&lt;0,X23&gt;=0)),"nm",IF(AND(AB23&lt;0,X23&lt;0),IF(-(AB23/X23-1)*100&lt;-100,"(&gt;100)",-(AB23/X23-1)*100),IF((AB23/X23-1)*100&gt;100,"&gt;100",(AB23/X23-1)*100))))</f>
        <v>27.19665271966527</v>
      </c>
      <c r="AF23" s="75">
        <v>239</v>
      </c>
      <c r="AG23" s="575">
        <v>304</v>
      </c>
      <c r="AH23" s="75">
        <f>IF(AND(AG23=0,AF23=0),0,IF(OR(AND(AG23&gt;0,AF23&lt;=0),AND(AG23&lt;0,AF23&gt;=0)),"nm",IF(AND(AG23&lt;0,AF23&lt;0),IF(-(AG23/AF23-1)*100&lt;-100,"(&gt;100)",-(AG23/AF23-1)*100),IF((AG23/AF23-1)*100&gt;100,"&gt;100",(AG23/AF23-1)*100))))</f>
        <v>27.19665271966527</v>
      </c>
      <c r="AI23" s="121">
        <f>W23</f>
        <v>187</v>
      </c>
      <c r="AJ23" s="122">
        <f>AA23</f>
        <v>319</v>
      </c>
      <c r="AK23" s="121">
        <f>IF(AND(AJ23=0,AI23=0),0,IF(OR(AND(AJ23&gt;0,AI23&lt;=0),AND(AJ23&lt;0,AI23&gt;=0)),"nm",IF(AND(AJ23&lt;0,AI23&lt;0),IF(-(AJ23/AI23-1)*100&lt;-100,"(&gt;100)",-(AJ23/AI23-1)*100),IF((AJ23/AI23-1)*100&gt;100,"&gt;100",(AJ23/AI23-1)*100))))</f>
        <v>70.58823529411764</v>
      </c>
    </row>
    <row r="24" spans="2:37" ht="14.25">
      <c r="B24" s="22" t="s">
        <v>164</v>
      </c>
      <c r="C24" s="22"/>
      <c r="D24" s="131">
        <v>746</v>
      </c>
      <c r="E24" s="75">
        <v>1946</v>
      </c>
      <c r="F24" s="75">
        <v>1570</v>
      </c>
      <c r="G24" s="75">
        <v>967</v>
      </c>
      <c r="H24" s="121">
        <v>991</v>
      </c>
      <c r="J24" s="75">
        <v>1042</v>
      </c>
      <c r="K24" s="75">
        <v>1000</v>
      </c>
      <c r="L24" s="75">
        <v>1207</v>
      </c>
      <c r="M24" s="75">
        <v>1946</v>
      </c>
      <c r="N24" s="75">
        <v>1905</v>
      </c>
      <c r="O24" s="75">
        <v>1843</v>
      </c>
      <c r="P24" s="75">
        <v>1329</v>
      </c>
      <c r="Q24" s="75">
        <v>1570</v>
      </c>
      <c r="R24" s="75">
        <v>1499</v>
      </c>
      <c r="S24" s="75">
        <v>936</v>
      </c>
      <c r="T24" s="75">
        <v>957</v>
      </c>
      <c r="U24" s="75">
        <v>967</v>
      </c>
      <c r="V24" s="75">
        <v>1448</v>
      </c>
      <c r="W24" s="75">
        <v>1326</v>
      </c>
      <c r="X24" s="75">
        <v>1359</v>
      </c>
      <c r="Y24" s="75">
        <v>991</v>
      </c>
      <c r="Z24" s="121">
        <v>930</v>
      </c>
      <c r="AA24" s="121">
        <v>1154</v>
      </c>
      <c r="AB24" s="575">
        <v>1226</v>
      </c>
      <c r="AC24" s="75">
        <f>IF(AND(AB24=0,AB24=0),0,IF(OR(AND(AB24&gt;0,AA24&lt;=0),AND(AB24&lt;0,AA24&gt;=0)),"nm",IF(AND(AB24&lt;0,AA24&lt;0),IF(-(AB24/AA24-1)*100&lt;-100,"(&gt;100)",-(AB24/AA24-1)*100),IF((AB24/AA24-1)*100&gt;100,"&gt;100",(AB24/AA24-1)*100))))</f>
        <v>6.239168110918536</v>
      </c>
      <c r="AD24" s="75">
        <f>IF(AND(AB24=0,X24=0),0,IF(OR(AND(AB24&gt;0,X24&lt;=0),AND(AB24&lt;0,X24&gt;=0)),"nm",IF(AND(AB24&lt;0,X24&lt;0),IF(-(AB24/X24-1)*100&lt;-100,"(&gt;100)",-(AB24/X24-1)*100),IF((AB24/X24-1)*100&gt;100,"&gt;100",(AB24/X24-1)*100))))</f>
        <v>-9.786607799852831</v>
      </c>
      <c r="AF24" s="75">
        <v>1359</v>
      </c>
      <c r="AG24" s="575">
        <v>1226</v>
      </c>
      <c r="AH24" s="75">
        <f>IF(AND(AG24=0,AF24=0),0,IF(OR(AND(AG24&gt;0,AF24&lt;=0),AND(AG24&lt;0,AF24&gt;=0)),"nm",IF(AND(AG24&lt;0,AF24&lt;0),IF(-(AG24/AF24-1)*100&lt;-100,"(&gt;100)",-(AG24/AF24-1)*100),IF((AG24/AF24-1)*100&gt;100,"&gt;100",(AG24/AF24-1)*100))))</f>
        <v>-9.786607799852831</v>
      </c>
      <c r="AI24" s="121">
        <f>W24</f>
        <v>1326</v>
      </c>
      <c r="AJ24" s="122">
        <f>AA24</f>
        <v>1154</v>
      </c>
      <c r="AK24" s="121">
        <f>IF(AND(AJ24=0,AI24=0),0,IF(OR(AND(AJ24&gt;0,AI24&lt;=0),AND(AJ24&lt;0,AI24&gt;=0)),"nm",IF(AND(AJ24&lt;0,AI24&lt;0),IF(-(AJ24/AI24-1)*100&lt;-100,"(&gt;100)",-(AJ24/AI24-1)*100),IF((AJ24/AI24-1)*100&gt;100,"&gt;100",(AJ24/AI24-1)*100))))</f>
        <v>-12.971342383107087</v>
      </c>
    </row>
    <row r="25" spans="3:33" ht="14.25">
      <c r="C25" s="22"/>
      <c r="D25" s="131"/>
      <c r="H25" s="121"/>
      <c r="Z25" s="436"/>
      <c r="AA25" s="121"/>
      <c r="AB25" s="575"/>
      <c r="AG25" s="575"/>
    </row>
    <row r="26" spans="1:37" s="18" customFormat="1" ht="15">
      <c r="A26" s="18" t="s">
        <v>201</v>
      </c>
      <c r="D26" s="104">
        <v>319</v>
      </c>
      <c r="E26" s="17">
        <v>533</v>
      </c>
      <c r="F26" s="17">
        <v>616</v>
      </c>
      <c r="G26" s="17">
        <v>990</v>
      </c>
      <c r="H26" s="17">
        <v>1387</v>
      </c>
      <c r="I26" s="17"/>
      <c r="J26" s="17">
        <v>387</v>
      </c>
      <c r="K26" s="17">
        <v>693</v>
      </c>
      <c r="L26" s="17">
        <v>552</v>
      </c>
      <c r="M26" s="17">
        <v>533</v>
      </c>
      <c r="N26" s="17">
        <v>542</v>
      </c>
      <c r="O26" s="17">
        <v>536</v>
      </c>
      <c r="P26" s="17">
        <v>670</v>
      </c>
      <c r="Q26" s="17">
        <v>616</v>
      </c>
      <c r="R26" s="17">
        <v>582</v>
      </c>
      <c r="S26" s="17">
        <v>1101</v>
      </c>
      <c r="T26" s="17">
        <v>987</v>
      </c>
      <c r="U26" s="17">
        <v>990</v>
      </c>
      <c r="V26" s="17">
        <v>994</v>
      </c>
      <c r="W26" s="17">
        <v>994</v>
      </c>
      <c r="X26" s="17">
        <v>954</v>
      </c>
      <c r="Y26" s="17">
        <v>1387</v>
      </c>
      <c r="Z26" s="17">
        <f>SUM(Z28:Z30)</f>
        <v>1376</v>
      </c>
      <c r="AA26" s="17">
        <f>SUM(AA28:AA30)</f>
        <v>1377</v>
      </c>
      <c r="AB26" s="572">
        <f>SUM(AB28:AB30)</f>
        <v>1341</v>
      </c>
      <c r="AC26" s="17">
        <f>IF(AND(AB26=0,AB26=0),0,IF(OR(AND(AB26&gt;0,AA26&lt;=0),AND(AB26&lt;0,AA26&gt;=0)),"nm",IF(AND(AB26&lt;0,AA26&lt;0),IF(-(AB26/AA26-1)*100&lt;-100,"(&gt;100)",-(AB26/AA26-1)*100),IF((AB26/AA26-1)*100&gt;100,"&gt;100",(AB26/AA26-1)*100))))</f>
        <v>-2.614379084967322</v>
      </c>
      <c r="AD26" s="17">
        <f>IF(AND(AB26=0,X26=0),0,IF(OR(AND(AB26&gt;0,X26&lt;=0),AND(AB26&lt;0,X26&gt;=0)),"nm",IF(AND(AB26&lt;0,X26&lt;0),IF(-(AB26/X26-1)*100&lt;-100,"(&gt;100)",-(AB26/X26-1)*100),IF((AB26/X26-1)*100&gt;100,"&gt;100",(AB26/X26-1)*100))))</f>
        <v>40.56603773584906</v>
      </c>
      <c r="AE26" s="15"/>
      <c r="AF26" s="17">
        <v>954</v>
      </c>
      <c r="AG26" s="572">
        <f>SUM(AG28:AG30)</f>
        <v>1341</v>
      </c>
      <c r="AH26" s="17">
        <f>IF(AND(AG26=0,AF26=0),0,IF(OR(AND(AG26&gt;0,AF26&lt;=0),AND(AG26&lt;0,AF26&gt;=0)),"nm",IF(AND(AG26&lt;0,AF26&lt;0),IF(-(AG26/AF26-1)*100&lt;-100,"(&gt;100)",-(AG26/AF26-1)*100),IF((AG26/AF26-1)*100&gt;100,"&gt;100",(AG26/AF26-1)*100))))</f>
        <v>40.56603773584906</v>
      </c>
      <c r="AI26" s="17">
        <f>W26</f>
        <v>994</v>
      </c>
      <c r="AJ26" s="125">
        <f>AA26</f>
        <v>1377</v>
      </c>
      <c r="AK26" s="17">
        <f>IF(AND(AJ26=0,AI26=0),0,IF(OR(AND(AJ26&gt;0,AI26&lt;=0),AND(AJ26&lt;0,AI26&gt;=0)),"nm",IF(AND(AJ26&lt;0,AI26&lt;0),IF(-(AJ26/AI26-1)*100&lt;-100,"(&gt;100)",-(AJ26/AI26-1)*100),IF((AJ26/AI26-1)*100&gt;100,"&gt;100",(AJ26/AI26-1)*100))))</f>
        <v>38.53118712273642</v>
      </c>
    </row>
    <row r="27" spans="1:33" ht="14.25">
      <c r="A27" s="58" t="s">
        <v>148</v>
      </c>
      <c r="C27" s="22"/>
      <c r="D27" s="131"/>
      <c r="H27" s="121"/>
      <c r="Z27" s="121"/>
      <c r="AA27" s="121"/>
      <c r="AB27" s="575"/>
      <c r="AG27" s="575"/>
    </row>
    <row r="28" spans="1:37" ht="15">
      <c r="A28" s="18"/>
      <c r="B28" s="22" t="s">
        <v>149</v>
      </c>
      <c r="C28" s="22"/>
      <c r="D28" s="131">
        <v>213</v>
      </c>
      <c r="E28" s="75">
        <v>389</v>
      </c>
      <c r="F28" s="75">
        <v>443</v>
      </c>
      <c r="G28" s="75">
        <v>835</v>
      </c>
      <c r="H28" s="121">
        <v>888</v>
      </c>
      <c r="J28" s="75">
        <v>282</v>
      </c>
      <c r="K28" s="75">
        <v>467</v>
      </c>
      <c r="L28" s="75">
        <v>440</v>
      </c>
      <c r="M28" s="75">
        <v>389</v>
      </c>
      <c r="N28" s="75">
        <v>402</v>
      </c>
      <c r="O28" s="75">
        <v>385</v>
      </c>
      <c r="P28" s="75">
        <v>422</v>
      </c>
      <c r="Q28" s="75">
        <v>443</v>
      </c>
      <c r="R28" s="75">
        <v>443</v>
      </c>
      <c r="S28" s="75">
        <v>951</v>
      </c>
      <c r="T28" s="75">
        <v>862</v>
      </c>
      <c r="U28" s="75">
        <v>835</v>
      </c>
      <c r="V28" s="75">
        <v>842</v>
      </c>
      <c r="W28" s="75">
        <v>847</v>
      </c>
      <c r="X28" s="75">
        <v>805</v>
      </c>
      <c r="Y28" s="75">
        <v>888</v>
      </c>
      <c r="Z28" s="121">
        <v>881</v>
      </c>
      <c r="AA28" s="121">
        <v>942</v>
      </c>
      <c r="AB28" s="575">
        <v>907</v>
      </c>
      <c r="AC28" s="75">
        <f>IF(AND(AB28=0,AB28=0),0,IF(OR(AND(AB28&gt;0,AA28&lt;=0),AND(AB28&lt;0,AA28&gt;=0)),"nm",IF(AND(AB28&lt;0,AA28&lt;0),IF(-(AB28/AA28-1)*100&lt;-100,"(&gt;100)",-(AB28/AA28-1)*100),IF((AB28/AA28-1)*100&gt;100,"&gt;100",(AB28/AA28-1)*100))))</f>
        <v>-3.715498938428874</v>
      </c>
      <c r="AD28" s="75">
        <f>IF(AND(AB28=0,X28=0),0,IF(OR(AND(AB28&gt;0,X28&lt;=0),AND(AB28&lt;0,X28&gt;=0)),"nm",IF(AND(AB28&lt;0,X28&lt;0),IF(-(AB28/X28-1)*100&lt;-100,"(&gt;100)",-(AB28/X28-1)*100),IF((AB28/X28-1)*100&gt;100,"&gt;100",(AB28/X28-1)*100))))</f>
        <v>12.670807453416156</v>
      </c>
      <c r="AF28" s="75">
        <v>805</v>
      </c>
      <c r="AG28" s="575">
        <v>907</v>
      </c>
      <c r="AH28" s="75">
        <f>IF(AND(AG28=0,AF28=0),0,IF(OR(AND(AG28&gt;0,AF28&lt;=0),AND(AG28&lt;0,AF28&gt;=0)),"nm",IF(AND(AG28&lt;0,AF28&lt;0),IF(-(AG28/AF28-1)*100&lt;-100,"(&gt;100)",-(AG28/AF28-1)*100),IF((AG28/AF28-1)*100&gt;100,"&gt;100",(AG28/AF28-1)*100))))</f>
        <v>12.670807453416156</v>
      </c>
      <c r="AI28" s="121">
        <f>W28</f>
        <v>847</v>
      </c>
      <c r="AJ28" s="122">
        <f>AA28</f>
        <v>942</v>
      </c>
      <c r="AK28" s="121">
        <f>IF(AND(AJ28=0,AI28=0),0,IF(OR(AND(AJ28&gt;0,AI28&lt;=0),AND(AJ28&lt;0,AI28&gt;=0)),"nm",IF(AND(AJ28&lt;0,AI28&lt;0),IF(-(AJ28/AI28-1)*100&lt;-100,"(&gt;100)",-(AJ28/AI28-1)*100),IF((AJ28/AI28-1)*100&gt;100,"&gt;100",(AJ28/AI28-1)*100))))</f>
        <v>11.216056670602125</v>
      </c>
    </row>
    <row r="29" spans="2:37" ht="14.25">
      <c r="B29" s="22" t="s">
        <v>150</v>
      </c>
      <c r="C29" s="22"/>
      <c r="D29" s="131">
        <v>57</v>
      </c>
      <c r="E29" s="75">
        <v>90</v>
      </c>
      <c r="F29" s="75">
        <v>145</v>
      </c>
      <c r="G29" s="75">
        <v>120</v>
      </c>
      <c r="H29" s="121">
        <v>223</v>
      </c>
      <c r="J29" s="75">
        <v>61</v>
      </c>
      <c r="K29" s="75">
        <v>169</v>
      </c>
      <c r="L29" s="75">
        <v>68</v>
      </c>
      <c r="M29" s="75">
        <v>90</v>
      </c>
      <c r="N29" s="75">
        <v>106</v>
      </c>
      <c r="O29" s="75">
        <v>116</v>
      </c>
      <c r="P29" s="75">
        <v>218</v>
      </c>
      <c r="Q29" s="75">
        <v>145</v>
      </c>
      <c r="R29" s="75">
        <v>109</v>
      </c>
      <c r="S29" s="75">
        <v>122</v>
      </c>
      <c r="T29" s="75">
        <v>103</v>
      </c>
      <c r="U29" s="75">
        <v>120</v>
      </c>
      <c r="V29" s="75">
        <v>131</v>
      </c>
      <c r="W29" s="75">
        <v>125</v>
      </c>
      <c r="X29" s="75">
        <v>111</v>
      </c>
      <c r="Y29" s="75">
        <v>223</v>
      </c>
      <c r="Z29" s="121">
        <v>224</v>
      </c>
      <c r="AA29" s="121">
        <v>363</v>
      </c>
      <c r="AB29" s="575">
        <v>360</v>
      </c>
      <c r="AC29" s="75">
        <f>IF(AND(AB29=0,AB29=0),0,IF(OR(AND(AB29&gt;0,AA29&lt;=0),AND(AB29&lt;0,AA29&gt;=0)),"nm",IF(AND(AB29&lt;0,AA29&lt;0),IF(-(AB29/AA29-1)*100&lt;-100,"(&gt;100)",-(AB29/AA29-1)*100),IF((AB29/AA29-1)*100&gt;100,"&gt;100",(AB29/AA29-1)*100))))</f>
        <v>-0.8264462809917328</v>
      </c>
      <c r="AD29" s="75" t="str">
        <f>IF(AND(AB29=0,X29=0),0,IF(OR(AND(AB29&gt;0,X29&lt;=0),AND(AB29&lt;0,X29&gt;=0)),"nm",IF(AND(AB29&lt;0,X29&lt;0),IF(-(AB29/X29-1)*100&lt;-100,"(&gt;100)",-(AB29/X29-1)*100),IF((AB29/X29-1)*100&gt;100,"&gt;100",(AB29/X29-1)*100))))</f>
        <v>&gt;100</v>
      </c>
      <c r="AF29" s="75">
        <v>111</v>
      </c>
      <c r="AG29" s="575">
        <v>360</v>
      </c>
      <c r="AH29" s="75" t="str">
        <f>IF(AND(AG29=0,AF29=0),0,IF(OR(AND(AG29&gt;0,AF29&lt;=0),AND(AG29&lt;0,AF29&gt;=0)),"nm",IF(AND(AG29&lt;0,AF29&lt;0),IF(-(AG29/AF29-1)*100&lt;-100,"(&gt;100)",-(AG29/AF29-1)*100),IF((AG29/AF29-1)*100&gt;100,"&gt;100",(AG29/AF29-1)*100))))</f>
        <v>&gt;100</v>
      </c>
      <c r="AI29" s="121">
        <f>W29</f>
        <v>125</v>
      </c>
      <c r="AJ29" s="122">
        <f>AA29</f>
        <v>363</v>
      </c>
      <c r="AK29" s="121" t="str">
        <f>IF(AND(AJ29=0,AI29=0),0,IF(OR(AND(AJ29&gt;0,AI29&lt;=0),AND(AJ29&lt;0,AI29&gt;=0)),"nm",IF(AND(AJ29&lt;0,AI29&lt;0),IF(-(AJ29/AI29-1)*100&lt;-100,"(&gt;100)",-(AJ29/AI29-1)*100),IF((AJ29/AI29-1)*100&gt;100,"&gt;100",(AJ29/AI29-1)*100))))</f>
        <v>&gt;100</v>
      </c>
    </row>
    <row r="30" spans="2:37" ht="14.25">
      <c r="B30" s="22" t="s">
        <v>151</v>
      </c>
      <c r="C30" s="6"/>
      <c r="D30" s="131">
        <v>49</v>
      </c>
      <c r="E30" s="75">
        <v>54</v>
      </c>
      <c r="F30" s="75">
        <v>28</v>
      </c>
      <c r="G30" s="75">
        <v>35</v>
      </c>
      <c r="H30" s="121">
        <v>276</v>
      </c>
      <c r="J30" s="75">
        <v>44</v>
      </c>
      <c r="K30" s="75">
        <v>57</v>
      </c>
      <c r="L30" s="75">
        <v>44</v>
      </c>
      <c r="M30" s="75">
        <v>54</v>
      </c>
      <c r="N30" s="75">
        <v>34</v>
      </c>
      <c r="O30" s="75">
        <v>35</v>
      </c>
      <c r="P30" s="75">
        <v>30</v>
      </c>
      <c r="Q30" s="75">
        <v>28</v>
      </c>
      <c r="R30" s="75">
        <v>30</v>
      </c>
      <c r="S30" s="75">
        <v>28</v>
      </c>
      <c r="T30" s="75">
        <v>22</v>
      </c>
      <c r="U30" s="75">
        <v>35</v>
      </c>
      <c r="V30" s="75">
        <v>21</v>
      </c>
      <c r="W30" s="75">
        <v>22</v>
      </c>
      <c r="X30" s="75">
        <v>38</v>
      </c>
      <c r="Y30" s="75">
        <v>276</v>
      </c>
      <c r="Z30" s="121">
        <v>271</v>
      </c>
      <c r="AA30" s="121">
        <v>72</v>
      </c>
      <c r="AB30" s="575">
        <v>74</v>
      </c>
      <c r="AC30" s="75">
        <f>IF(AND(AB30=0,AB30=0),0,IF(OR(AND(AB30&gt;0,AA30&lt;=0),AND(AB30&lt;0,AA30&gt;=0)),"nm",IF(AND(AB30&lt;0,AA30&lt;0),IF(-(AB30/AA30-1)*100&lt;-100,"(&gt;100)",-(AB30/AA30-1)*100),IF((AB30/AA30-1)*100&gt;100,"&gt;100",(AB30/AA30-1)*100))))</f>
        <v>2.777777777777768</v>
      </c>
      <c r="AD30" s="75">
        <f>IF(AND(AB30=0,X30=0),0,IF(OR(AND(AB30&gt;0,X30&lt;=0),AND(AB30&lt;0,X30&gt;=0)),"nm",IF(AND(AB30&lt;0,X30&lt;0),IF(-(AB30/X30-1)*100&lt;-100,"(&gt;100)",-(AB30/X30-1)*100),IF((AB30/X30-1)*100&gt;100,"&gt;100",(AB30/X30-1)*100))))</f>
        <v>94.73684210526316</v>
      </c>
      <c r="AF30" s="75">
        <v>38</v>
      </c>
      <c r="AG30" s="575">
        <v>74</v>
      </c>
      <c r="AH30" s="75">
        <f>IF(AND(AG30=0,AF30=0),0,IF(OR(AND(AG30&gt;0,AF30&lt;=0),AND(AG30&lt;0,AF30&gt;=0)),"nm",IF(AND(AG30&lt;0,AF30&lt;0),IF(-(AG30/AF30-1)*100&lt;-100,"(&gt;100)",-(AG30/AF30-1)*100),IF((AG30/AF30-1)*100&gt;100,"&gt;100",(AG30/AF30-1)*100))))</f>
        <v>94.73684210526316</v>
      </c>
      <c r="AI30" s="121">
        <f>W30</f>
        <v>22</v>
      </c>
      <c r="AJ30" s="122">
        <f>AA30</f>
        <v>72</v>
      </c>
      <c r="AK30" s="121" t="str">
        <f>IF(AND(AJ30=0,AI30=0),0,IF(OR(AND(AJ30&gt;0,AI30&lt;=0),AND(AJ30&lt;0,AI30&gt;=0)),"nm",IF(AND(AJ30&lt;0,AI30&lt;0),IF(-(AJ30/AI30-1)*100&lt;-100,"(&gt;100)",-(AJ30/AI30-1)*100),IF((AJ30/AI30-1)*100&gt;100,"&gt;100",(AJ30/AI30-1)*100))))</f>
        <v>&gt;100</v>
      </c>
    </row>
    <row r="31" spans="3:33" ht="14.25">
      <c r="C31" s="6"/>
      <c r="D31" s="131"/>
      <c r="H31" s="121"/>
      <c r="Z31" s="436"/>
      <c r="AA31" s="121"/>
      <c r="AB31" s="575"/>
      <c r="AG31" s="575"/>
    </row>
    <row r="32" spans="1:33" ht="15">
      <c r="A32" s="46" t="s">
        <v>202</v>
      </c>
      <c r="C32" s="6"/>
      <c r="D32" s="131"/>
      <c r="H32" s="121"/>
      <c r="Z32" s="436"/>
      <c r="AA32" s="121"/>
      <c r="AB32" s="575"/>
      <c r="AG32" s="575"/>
    </row>
    <row r="33" spans="1:37" s="18" customFormat="1" ht="15">
      <c r="A33" s="18" t="s">
        <v>158</v>
      </c>
      <c r="B33" s="7"/>
      <c r="D33" s="104">
        <v>1958</v>
      </c>
      <c r="E33" s="17">
        <v>3876</v>
      </c>
      <c r="F33" s="17">
        <v>2878</v>
      </c>
      <c r="G33" s="17">
        <v>2639</v>
      </c>
      <c r="H33" s="17">
        <v>2627</v>
      </c>
      <c r="I33" s="17"/>
      <c r="J33" s="17">
        <v>2721</v>
      </c>
      <c r="K33" s="17">
        <v>3692</v>
      </c>
      <c r="L33" s="17">
        <v>3419</v>
      </c>
      <c r="M33" s="17">
        <v>3876</v>
      </c>
      <c r="N33" s="17">
        <v>3764</v>
      </c>
      <c r="O33" s="17">
        <v>3431</v>
      </c>
      <c r="P33" s="17">
        <v>3171</v>
      </c>
      <c r="Q33" s="17">
        <v>2878</v>
      </c>
      <c r="R33" s="17">
        <v>2806</v>
      </c>
      <c r="S33" s="17">
        <v>2597</v>
      </c>
      <c r="T33" s="17">
        <v>2511</v>
      </c>
      <c r="U33" s="17">
        <v>2639</v>
      </c>
      <c r="V33" s="17">
        <v>2648</v>
      </c>
      <c r="W33" s="17">
        <v>2761</v>
      </c>
      <c r="X33" s="17">
        <v>2649</v>
      </c>
      <c r="Y33" s="17">
        <v>2627</v>
      </c>
      <c r="Z33" s="17">
        <f>+Z6</f>
        <v>2670</v>
      </c>
      <c r="AA33" s="17">
        <f>+AA6</f>
        <v>2875</v>
      </c>
      <c r="AB33" s="572">
        <f>+AB6</f>
        <v>2938</v>
      </c>
      <c r="AC33" s="312">
        <f>IF(AND(AB33=0,AB33=0),0,IF(OR(AND(AB33&gt;0,AA33&lt;=0),AND(AB33&lt;0,AA33&gt;=0)),"nm",IF(AND(AB33&lt;0,AA33&lt;0),IF(-(AB33/AA33-1)*100&lt;-100,"(&gt;100)",-(AB33/AA33-1)*100),IF((AB33/AA33-1)*100&gt;100,"&gt;100",(AB33/AA33-1)*100))))</f>
        <v>2.191304347826084</v>
      </c>
      <c r="AD33" s="312">
        <f>IF(AND(AB33=0,X33=0),0,IF(OR(AND(AB33&gt;0,X33&lt;=0),AND(AB33&lt;0,X33&gt;=0)),"nm",IF(AND(AB33&lt;0,X33&lt;0),IF(-(AB33/X33-1)*100&lt;-100,"(&gt;100)",-(AB33/X33-1)*100),IF((AB33/X33-1)*100&gt;100,"&gt;100",(AB33/X33-1)*100))))</f>
        <v>10.909777274443178</v>
      </c>
      <c r="AE33" s="313"/>
      <c r="AF33" s="312">
        <v>2649</v>
      </c>
      <c r="AG33" s="572">
        <f>+AG6</f>
        <v>2938</v>
      </c>
      <c r="AH33" s="17">
        <f>IF(AND(AG33=0,AF33=0),0,IF(OR(AND(AG33&gt;0,AF33&lt;=0),AND(AG33&lt;0,AF33&gt;=0)),"nm",IF(AND(AG33&lt;0,AF33&lt;0),IF(-(AG33/AF33-1)*100&lt;-100,"(&gt;100)",-(AG33/AF33-1)*100),IF((AG33/AF33-1)*100&gt;100,"&gt;100",(AG33/AF33-1)*100))))</f>
        <v>10.909777274443178</v>
      </c>
      <c r="AI33" s="17">
        <f>+W33</f>
        <v>2761</v>
      </c>
      <c r="AJ33" s="125">
        <f>+AJ6</f>
        <v>2875</v>
      </c>
      <c r="AK33" s="17">
        <f>IF(AND(AJ33=0,AI33=0),0,IF(OR(AND(AJ33&gt;0,AI33&lt;=0),AND(AJ33&lt;0,AI33&gt;=0)),"nm",IF(AND(AJ33&lt;0,AI33&lt;0),IF(-(AJ33/AI33-1)*100&lt;-100,"(&gt;100)",-(AJ33/AI33-1)*100),IF((AJ33/AI33-1)*100&gt;100,"&gt;100",(AJ33/AI33-1)*100))))</f>
        <v>4.128938790293368</v>
      </c>
    </row>
    <row r="34" spans="1:33" ht="14.25">
      <c r="A34" s="49" t="s">
        <v>82</v>
      </c>
      <c r="D34" s="131"/>
      <c r="H34" s="121"/>
      <c r="Z34" s="121"/>
      <c r="AA34" s="121"/>
      <c r="AB34" s="575"/>
      <c r="AC34" s="261"/>
      <c r="AD34" s="261"/>
      <c r="AE34" s="314"/>
      <c r="AF34" s="261"/>
      <c r="AG34" s="575"/>
    </row>
    <row r="35" spans="1:37" ht="15">
      <c r="A35" s="28"/>
      <c r="B35" s="22" t="s">
        <v>376</v>
      </c>
      <c r="D35" s="131">
        <v>474</v>
      </c>
      <c r="E35" s="75">
        <v>513</v>
      </c>
      <c r="F35" s="75">
        <v>317</v>
      </c>
      <c r="G35" s="75">
        <v>303</v>
      </c>
      <c r="H35" s="121">
        <v>288</v>
      </c>
      <c r="J35" s="75">
        <v>615</v>
      </c>
      <c r="K35" s="75">
        <v>681</v>
      </c>
      <c r="L35" s="75">
        <v>635</v>
      </c>
      <c r="M35" s="75">
        <v>513</v>
      </c>
      <c r="N35" s="75">
        <v>496</v>
      </c>
      <c r="O35" s="75">
        <v>396</v>
      </c>
      <c r="P35" s="75">
        <v>377</v>
      </c>
      <c r="Q35" s="75">
        <v>317</v>
      </c>
      <c r="R35" s="75">
        <v>312</v>
      </c>
      <c r="S35" s="75">
        <v>302</v>
      </c>
      <c r="T35" s="75">
        <v>293</v>
      </c>
      <c r="U35" s="75">
        <v>303</v>
      </c>
      <c r="V35" s="75">
        <v>303</v>
      </c>
      <c r="W35" s="75">
        <v>301</v>
      </c>
      <c r="X35" s="75">
        <v>302</v>
      </c>
      <c r="Y35" s="75">
        <v>288</v>
      </c>
      <c r="Z35" s="121">
        <v>300</v>
      </c>
      <c r="AA35" s="121">
        <v>297</v>
      </c>
      <c r="AB35" s="575">
        <v>300</v>
      </c>
      <c r="AC35" s="261">
        <f>IF(AND(AB35=0,AB35=0),0,IF(OR(AND(AB35&gt;0,AA35&lt;=0),AND(AB35&lt;0,AA35&gt;=0)),"nm",IF(AND(AB35&lt;0,AA35&lt;0),IF(-(AB35/AA35-1)*100&lt;-100,"(&gt;100)",-(AB35/AA35-1)*100),IF((AB35/AA35-1)*100&gt;100,"&gt;100",(AB35/AA35-1)*100))))</f>
        <v>1.0101010101010166</v>
      </c>
      <c r="AD35" s="261">
        <f>IF(AND(AB35=0,X35=0),0,IF(OR(AND(AB35&gt;0,X35&lt;=0),AND(AB35&lt;0,X35&gt;=0)),"nm",IF(AND(AB35&lt;0,X35&lt;0),IF(-(AB35/X35-1)*100&lt;-100,"(&gt;100)",-(AB35/X35-1)*100),IF((AB35/X35-1)*100&gt;100,"&gt;100",(AB35/X35-1)*100))))</f>
        <v>-0.6622516556291425</v>
      </c>
      <c r="AE35" s="314"/>
      <c r="AF35" s="261">
        <v>302</v>
      </c>
      <c r="AG35" s="575">
        <v>300</v>
      </c>
      <c r="AH35" s="75">
        <f>IF(AND(AG35=0,AF35=0),0,IF(OR(AND(AG35&gt;0,AF35&lt;=0),AND(AG35&lt;0,AF35&gt;=0)),"nm",IF(AND(AG35&lt;0,AF35&lt;0),IF(-(AG35/AF35-1)*100&lt;-100,"(&gt;100)",-(AG35/AF35-1)*100),IF((AG35/AF35-1)*100&gt;100,"&gt;100",(AG35/AF35-1)*100))))</f>
        <v>-0.6622516556291425</v>
      </c>
      <c r="AI35" s="121">
        <f>+W35</f>
        <v>301</v>
      </c>
      <c r="AJ35" s="122">
        <f>+AA35</f>
        <v>297</v>
      </c>
      <c r="AK35" s="121">
        <f>IF(AND(AJ35=0,AI35=0),0,IF(OR(AND(AJ35&gt;0,AI35&lt;=0),AND(AJ35&lt;0,AI35&gt;=0)),"nm",IF(AND(AJ35&lt;0,AI35&lt;0),IF(-(AJ35/AI35-1)*100&lt;-100,"(&gt;100)",-(AJ35/AI35-1)*100),IF((AJ35/AI35-1)*100&gt;100,"&gt;100",(AJ35/AI35-1)*100))))</f>
        <v>-1.3289036544850474</v>
      </c>
    </row>
    <row r="36" spans="1:37" ht="14.25" customHeight="1">
      <c r="A36" s="28"/>
      <c r="B36" s="22" t="s">
        <v>331</v>
      </c>
      <c r="D36" s="131">
        <v>1484</v>
      </c>
      <c r="E36" s="75">
        <v>3363</v>
      </c>
      <c r="F36" s="75">
        <v>2561</v>
      </c>
      <c r="G36" s="75">
        <v>2336</v>
      </c>
      <c r="H36" s="121">
        <v>2339</v>
      </c>
      <c r="J36" s="75">
        <v>2106</v>
      </c>
      <c r="K36" s="75">
        <v>3011</v>
      </c>
      <c r="L36" s="75">
        <v>2784</v>
      </c>
      <c r="M36" s="75">
        <v>3363</v>
      </c>
      <c r="N36" s="75">
        <v>3268</v>
      </c>
      <c r="O36" s="75">
        <v>3035</v>
      </c>
      <c r="P36" s="75">
        <v>2794</v>
      </c>
      <c r="Q36" s="75">
        <v>2561</v>
      </c>
      <c r="R36" s="75">
        <v>2494</v>
      </c>
      <c r="S36" s="75">
        <v>2295</v>
      </c>
      <c r="T36" s="75">
        <v>2218</v>
      </c>
      <c r="U36" s="75">
        <v>2336</v>
      </c>
      <c r="V36" s="75">
        <v>2345</v>
      </c>
      <c r="W36" s="75">
        <v>2460</v>
      </c>
      <c r="X36" s="75">
        <v>2347</v>
      </c>
      <c r="Y36" s="75">
        <v>2339</v>
      </c>
      <c r="Z36" s="121">
        <v>2370</v>
      </c>
      <c r="AA36" s="121">
        <v>2578</v>
      </c>
      <c r="AB36" s="575">
        <v>2638</v>
      </c>
      <c r="AC36" s="261">
        <f>IF(AND(AB36=0,AB36=0),0,IF(OR(AND(AB36&gt;0,AA36&lt;=0),AND(AB36&lt;0,AA36&gt;=0)),"nm",IF(AND(AB36&lt;0,AA36&lt;0),IF(-(AB36/AA36-1)*100&lt;-100,"(&gt;100)",-(AB36/AA36-1)*100),IF((AB36/AA36-1)*100&gt;100,"&gt;100",(AB36/AA36-1)*100))))</f>
        <v>2.3273855702094615</v>
      </c>
      <c r="AD36" s="261">
        <f>IF(AND(AB36=0,X36=0),0,IF(OR(AND(AB36&gt;0,X36&lt;=0),AND(AB36&lt;0,X36&gt;=0)),"nm",IF(AND(AB36&lt;0,X36&lt;0),IF(-(AB36/X36-1)*100&lt;-100,"(&gt;100)",-(AB36/X36-1)*100),IF((AB36/X36-1)*100&gt;100,"&gt;100",(AB36/X36-1)*100))))</f>
        <v>12.398806987643795</v>
      </c>
      <c r="AE36" s="314"/>
      <c r="AF36" s="261">
        <v>2347</v>
      </c>
      <c r="AG36" s="575">
        <v>2638</v>
      </c>
      <c r="AH36" s="75">
        <f>IF(AND(AG36=0,AF36=0),0,IF(OR(AND(AG36&gt;0,AF36&lt;=0),AND(AG36&lt;0,AF36&gt;=0)),"nm",IF(AND(AG36&lt;0,AF36&lt;0),IF(-(AG36/AF36-1)*100&lt;-100,"(&gt;100)",-(AG36/AF36-1)*100),IF((AG36/AF36-1)*100&gt;100,"&gt;100",(AG36/AF36-1)*100))))</f>
        <v>12.398806987643795</v>
      </c>
      <c r="AI36" s="121">
        <f>+W36</f>
        <v>2460</v>
      </c>
      <c r="AJ36" s="122">
        <f>+AA36</f>
        <v>2578</v>
      </c>
      <c r="AK36" s="121">
        <f>IF(AND(AJ36=0,AI36=0),0,IF(OR(AND(AJ36&gt;0,AI36&lt;=0),AND(AJ36&lt;0,AI36&gt;=0)),"nm",IF(AND(AJ36&lt;0,AI36&lt;0),IF(-(AJ36/AI36-1)*100&lt;-100,"(&gt;100)",-(AJ36/AI36-1)*100),IF((AJ36/AI36-1)*100&gt;100,"&gt;100",(AJ36/AI36-1)*100))))</f>
        <v>4.796747967479664</v>
      </c>
    </row>
    <row r="37" spans="1:33" ht="2.25" customHeight="1" hidden="1">
      <c r="A37" s="29"/>
      <c r="B37" s="158"/>
      <c r="D37" s="159"/>
      <c r="H37" s="121"/>
      <c r="Z37" s="121"/>
      <c r="AA37" s="121"/>
      <c r="AB37" s="575"/>
      <c r="AG37" s="575"/>
    </row>
    <row r="38" spans="1:37" s="18" customFormat="1" ht="15">
      <c r="A38" s="58" t="s">
        <v>81</v>
      </c>
      <c r="D38" s="104"/>
      <c r="E38" s="17"/>
      <c r="F38" s="17"/>
      <c r="G38" s="17"/>
      <c r="H38" s="17"/>
      <c r="I38" s="17"/>
      <c r="J38" s="17"/>
      <c r="K38" s="17"/>
      <c r="L38" s="17"/>
      <c r="M38" s="17"/>
      <c r="N38" s="17"/>
      <c r="O38" s="17"/>
      <c r="P38" s="17"/>
      <c r="Q38" s="17"/>
      <c r="R38" s="17"/>
      <c r="S38" s="17"/>
      <c r="T38" s="17"/>
      <c r="U38" s="17"/>
      <c r="V38" s="17"/>
      <c r="W38" s="17"/>
      <c r="X38" s="17"/>
      <c r="Y38" s="17"/>
      <c r="Z38" s="17"/>
      <c r="AA38" s="17"/>
      <c r="AB38" s="572"/>
      <c r="AC38" s="17"/>
      <c r="AD38" s="17"/>
      <c r="AE38" s="15"/>
      <c r="AF38" s="17"/>
      <c r="AG38" s="572"/>
      <c r="AH38" s="17"/>
      <c r="AI38" s="17"/>
      <c r="AJ38" s="125"/>
      <c r="AK38" s="17"/>
    </row>
    <row r="39" spans="1:37" ht="14.25">
      <c r="A39" s="29"/>
      <c r="B39" s="10" t="s">
        <v>48</v>
      </c>
      <c r="D39" s="131">
        <v>678</v>
      </c>
      <c r="E39" s="75">
        <v>731</v>
      </c>
      <c r="F39" s="75">
        <v>594</v>
      </c>
      <c r="G39" s="75">
        <v>528</v>
      </c>
      <c r="H39" s="121">
        <v>410</v>
      </c>
      <c r="J39" s="75">
        <v>747</v>
      </c>
      <c r="K39" s="75">
        <v>803</v>
      </c>
      <c r="L39" s="75">
        <v>773</v>
      </c>
      <c r="M39" s="75">
        <v>731</v>
      </c>
      <c r="N39" s="75">
        <v>700</v>
      </c>
      <c r="O39" s="75">
        <v>648</v>
      </c>
      <c r="P39" s="75">
        <v>635</v>
      </c>
      <c r="Q39" s="75">
        <v>594</v>
      </c>
      <c r="R39" s="75">
        <v>571</v>
      </c>
      <c r="S39" s="75">
        <v>512</v>
      </c>
      <c r="T39" s="75">
        <v>405</v>
      </c>
      <c r="U39" s="75">
        <v>528</v>
      </c>
      <c r="V39" s="75">
        <v>584</v>
      </c>
      <c r="W39" s="75">
        <v>594</v>
      </c>
      <c r="X39" s="75">
        <v>561</v>
      </c>
      <c r="Y39" s="75">
        <v>410</v>
      </c>
      <c r="Z39" s="121">
        <v>405</v>
      </c>
      <c r="AA39" s="121">
        <v>468</v>
      </c>
      <c r="AB39" s="575">
        <v>492</v>
      </c>
      <c r="AC39" s="75">
        <f>IF(AND(AB39=0,AB39=0),0,IF(OR(AND(AB39&gt;0,AA39&lt;=0),AND(AB39&lt;0,AA39&gt;=0)),"nm",IF(AND(AB39&lt;0,AA39&lt;0),IF(-(AB39/AA39-1)*100&lt;-100,"(&gt;100)",-(AB39/AA39-1)*100),IF((AB39/AA39-1)*100&gt;100,"&gt;100",(AB39/AA39-1)*100))))</f>
        <v>5.128205128205132</v>
      </c>
      <c r="AD39" s="75">
        <f>IF(AND(AB39=0,X39=0),0,IF(OR(AND(AB39&gt;0,X39&lt;=0),AND(AB39&lt;0,X39&gt;=0)),"nm",IF(AND(AB39&lt;0,X39&lt;0),IF(-(AB39/X39-1)*100&lt;-100,"(&gt;100)",-(AB39/X39-1)*100),IF((AB39/X39-1)*100&gt;100,"&gt;100",(AB39/X39-1)*100))))</f>
        <v>-12.299465240641716</v>
      </c>
      <c r="AF39" s="75">
        <v>561</v>
      </c>
      <c r="AG39" s="575">
        <v>492</v>
      </c>
      <c r="AH39" s="75">
        <f>IF(AND(AG39=0,AF39=0),0,IF(OR(AND(AG39&gt;0,AF39&lt;=0),AND(AG39&lt;0,AF39&gt;=0)),"nm",IF(AND(AG39&lt;0,AF39&lt;0),IF(-(AG39/AF39-1)*100&lt;-100,"(&gt;100)",-(AG39/AF39-1)*100),IF((AG39/AF39-1)*100&gt;100,"&gt;100",(AG39/AF39-1)*100))))</f>
        <v>-12.299465240641716</v>
      </c>
      <c r="AI39" s="121">
        <f>+W39</f>
        <v>594</v>
      </c>
      <c r="AJ39" s="122">
        <f>+AA39</f>
        <v>468</v>
      </c>
      <c r="AK39" s="121">
        <f>IF(AND(AJ39=0,AI39=0),0,IF(OR(AND(AJ39&gt;0,AI39&lt;=0),AND(AJ39&lt;0,AI39&gt;=0)),"nm",IF(AND(AJ39&lt;0,AI39&lt;0),IF(-(AJ39/AI39-1)*100&lt;-100,"(&gt;100)",-(AJ39/AI39-1)*100),IF((AJ39/AI39-1)*100&gt;100,"&gt;100",(AJ39/AI39-1)*100))))</f>
        <v>-21.212121212121215</v>
      </c>
    </row>
    <row r="40" spans="1:37" ht="14.25">
      <c r="A40" s="29"/>
      <c r="B40" s="77" t="s">
        <v>49</v>
      </c>
      <c r="D40" s="131">
        <v>587</v>
      </c>
      <c r="E40" s="75">
        <v>567</v>
      </c>
      <c r="F40" s="75">
        <v>359</v>
      </c>
      <c r="G40" s="75">
        <v>334</v>
      </c>
      <c r="H40" s="121">
        <v>244</v>
      </c>
      <c r="J40" s="75">
        <v>860</v>
      </c>
      <c r="K40" s="75">
        <v>769</v>
      </c>
      <c r="L40" s="75">
        <v>650</v>
      </c>
      <c r="M40" s="75">
        <v>567</v>
      </c>
      <c r="N40" s="75">
        <v>540</v>
      </c>
      <c r="O40" s="75">
        <v>442</v>
      </c>
      <c r="P40" s="75">
        <v>377</v>
      </c>
      <c r="Q40" s="75">
        <v>359</v>
      </c>
      <c r="R40" s="75">
        <v>328</v>
      </c>
      <c r="S40" s="75">
        <v>300</v>
      </c>
      <c r="T40" s="75">
        <v>324</v>
      </c>
      <c r="U40" s="75">
        <v>334</v>
      </c>
      <c r="V40" s="75">
        <v>315</v>
      </c>
      <c r="W40" s="75">
        <v>303</v>
      </c>
      <c r="X40" s="75">
        <v>270</v>
      </c>
      <c r="Y40" s="75">
        <v>244</v>
      </c>
      <c r="Z40" s="121">
        <v>259</v>
      </c>
      <c r="AA40" s="121">
        <v>262</v>
      </c>
      <c r="AB40" s="575">
        <v>266</v>
      </c>
      <c r="AC40" s="75">
        <f>IF(AND(AB40=0,AB40=0),0,IF(OR(AND(AB40&gt;0,AA40&lt;=0),AND(AB40&lt;0,AA40&gt;=0)),"nm",IF(AND(AB40&lt;0,AA40&lt;0),IF(-(AB40/AA40-1)*100&lt;-100,"(&gt;100)",-(AB40/AA40-1)*100),IF((AB40/AA40-1)*100&gt;100,"&gt;100",(AB40/AA40-1)*100))))</f>
        <v>1.526717557251911</v>
      </c>
      <c r="AD40" s="75">
        <f>IF(AND(AB40=0,X40=0),0,IF(OR(AND(AB40&gt;0,X40&lt;=0),AND(AB40&lt;0,X40&gt;=0)),"nm",IF(AND(AB40&lt;0,X40&lt;0),IF(-(AB40/X40-1)*100&lt;-100,"(&gt;100)",-(AB40/X40-1)*100),IF((AB40/X40-1)*100&gt;100,"&gt;100",(AB40/X40-1)*100))))</f>
        <v>-1.4814814814814836</v>
      </c>
      <c r="AF40" s="75">
        <v>270</v>
      </c>
      <c r="AG40" s="575">
        <v>266</v>
      </c>
      <c r="AH40" s="75">
        <f>IF(AND(AG40=0,AF40=0),0,IF(OR(AND(AG40&gt;0,AF40&lt;=0),AND(AG40&lt;0,AF40&gt;=0)),"nm",IF(AND(AG40&lt;0,AF40&lt;0),IF(-(AG40/AF40-1)*100&lt;-100,"(&gt;100)",-(AG40/AF40-1)*100),IF((AG40/AF40-1)*100&gt;100,"&gt;100",(AG40/AF40-1)*100))))</f>
        <v>-1.4814814814814836</v>
      </c>
      <c r="AI40" s="121">
        <f>+W40</f>
        <v>303</v>
      </c>
      <c r="AJ40" s="122">
        <f>+AA40</f>
        <v>262</v>
      </c>
      <c r="AK40" s="121">
        <f>IF(AND(AJ40=0,AI40=0),0,IF(OR(AND(AJ40&gt;0,AI40&lt;=0),AND(AJ40&lt;0,AI40&gt;=0)),"nm",IF(AND(AJ40&lt;0,AI40&lt;0),IF(-(AJ40/AI40-1)*100&lt;-100,"(&gt;100)",-(AJ40/AI40-1)*100),IF((AJ40/AI40-1)*100&gt;100,"&gt;100",(AJ40/AI40-1)*100))))</f>
        <v>-13.531353135313529</v>
      </c>
    </row>
    <row r="41" spans="1:37" ht="14.25">
      <c r="A41" s="29"/>
      <c r="B41" s="77" t="s">
        <v>76</v>
      </c>
      <c r="D41" s="131">
        <v>457</v>
      </c>
      <c r="E41" s="75">
        <v>352</v>
      </c>
      <c r="F41" s="75">
        <v>250</v>
      </c>
      <c r="G41" s="75">
        <v>237</v>
      </c>
      <c r="H41" s="121">
        <v>232</v>
      </c>
      <c r="J41" s="75">
        <v>494</v>
      </c>
      <c r="K41" s="75">
        <v>441</v>
      </c>
      <c r="L41" s="75">
        <v>376</v>
      </c>
      <c r="M41" s="75">
        <v>352</v>
      </c>
      <c r="N41" s="75">
        <v>361</v>
      </c>
      <c r="O41" s="75">
        <v>316</v>
      </c>
      <c r="P41" s="75">
        <v>270</v>
      </c>
      <c r="Q41" s="75">
        <v>250</v>
      </c>
      <c r="R41" s="75">
        <v>240</v>
      </c>
      <c r="S41" s="75">
        <v>233</v>
      </c>
      <c r="T41" s="75">
        <v>234</v>
      </c>
      <c r="U41" s="75">
        <v>237</v>
      </c>
      <c r="V41" s="75">
        <v>239</v>
      </c>
      <c r="W41" s="75">
        <v>237</v>
      </c>
      <c r="X41" s="75">
        <v>216</v>
      </c>
      <c r="Y41" s="75">
        <v>232</v>
      </c>
      <c r="Z41" s="121">
        <v>236</v>
      </c>
      <c r="AA41" s="121">
        <v>266</v>
      </c>
      <c r="AB41" s="575">
        <v>286</v>
      </c>
      <c r="AC41" s="75">
        <f>IF(AND(AB41=0,AB41=0),0,IF(OR(AND(AB41&gt;0,AA41&lt;=0),AND(AB41&lt;0,AA41&gt;=0)),"nm",IF(AND(AB41&lt;0,AA41&lt;0),IF(-(AB41/AA41-1)*100&lt;-100,"(&gt;100)",-(AB41/AA41-1)*100),IF((AB41/AA41-1)*100&gt;100,"&gt;100",(AB41/AA41-1)*100))))</f>
        <v>7.518796992481214</v>
      </c>
      <c r="AD41" s="75">
        <f>IF(AND(AB41=0,X41=0),0,IF(OR(AND(AB41&gt;0,X41&lt;=0),AND(AB41&lt;0,X41&gt;=0)),"nm",IF(AND(AB41&lt;0,X41&lt;0),IF(-(AB41/X41-1)*100&lt;-100,"(&gt;100)",-(AB41/X41-1)*100),IF((AB41/X41-1)*100&gt;100,"&gt;100",(AB41/X41-1)*100))))</f>
        <v>32.40740740740742</v>
      </c>
      <c r="AF41" s="75">
        <v>216</v>
      </c>
      <c r="AG41" s="575">
        <v>286</v>
      </c>
      <c r="AH41" s="75">
        <f>IF(AND(AG41=0,AF41=0),0,IF(OR(AND(AG41&gt;0,AF41&lt;=0),AND(AG41&lt;0,AF41&gt;=0)),"nm",IF(AND(AG41&lt;0,AF41&lt;0),IF(-(AG41/AF41-1)*100&lt;-100,"(&gt;100)",-(AG41/AF41-1)*100),IF((AG41/AF41-1)*100&gt;100,"&gt;100",(AG41/AF41-1)*100))))</f>
        <v>32.40740740740742</v>
      </c>
      <c r="AI41" s="121">
        <f>+W41</f>
        <v>237</v>
      </c>
      <c r="AJ41" s="122">
        <f>+AA41</f>
        <v>266</v>
      </c>
      <c r="AK41" s="121">
        <f>IF(AND(AJ41=0,AI41=0),0,IF(OR(AND(AJ41&gt;0,AI41&lt;=0),AND(AJ41&lt;0,AI41&gt;=0)),"nm",IF(AND(AJ41&lt;0,AI41&lt;0),IF(-(AJ41/AI41-1)*100&lt;-100,"(&gt;100)",-(AJ41/AI41-1)*100),IF((AJ41/AI41-1)*100&gt;100,"&gt;100",(AJ41/AI41-1)*100))))</f>
        <v>12.23628691983123</v>
      </c>
    </row>
    <row r="42" spans="1:37" ht="14.25">
      <c r="A42" s="29"/>
      <c r="B42" s="77" t="s">
        <v>93</v>
      </c>
      <c r="D42" s="131">
        <v>133</v>
      </c>
      <c r="E42" s="75">
        <v>157</v>
      </c>
      <c r="F42" s="75">
        <v>164</v>
      </c>
      <c r="G42" s="75">
        <v>180</v>
      </c>
      <c r="H42" s="121">
        <v>207</v>
      </c>
      <c r="J42" s="75">
        <v>184</v>
      </c>
      <c r="K42" s="75">
        <v>250</v>
      </c>
      <c r="L42" s="75">
        <v>174</v>
      </c>
      <c r="M42" s="75">
        <v>157</v>
      </c>
      <c r="N42" s="75">
        <v>149</v>
      </c>
      <c r="O42" s="75">
        <v>138</v>
      </c>
      <c r="P42" s="75">
        <v>146</v>
      </c>
      <c r="Q42" s="75">
        <v>164</v>
      </c>
      <c r="R42" s="75">
        <v>175</v>
      </c>
      <c r="S42" s="75">
        <v>174</v>
      </c>
      <c r="T42" s="75">
        <v>173</v>
      </c>
      <c r="U42" s="75">
        <v>180</v>
      </c>
      <c r="V42" s="75">
        <v>169</v>
      </c>
      <c r="W42" s="75">
        <v>177</v>
      </c>
      <c r="X42" s="75">
        <v>194</v>
      </c>
      <c r="Y42" s="75">
        <v>207</v>
      </c>
      <c r="Z42" s="121">
        <v>293</v>
      </c>
      <c r="AA42" s="121">
        <v>374</v>
      </c>
      <c r="AB42" s="575">
        <v>425</v>
      </c>
      <c r="AC42" s="75">
        <f>IF(AND(AB42=0,AB42=0),0,IF(OR(AND(AB42&gt;0,AA42&lt;=0),AND(AB42&lt;0,AA42&gt;=0)),"nm",IF(AND(AB42&lt;0,AA42&lt;0),IF(-(AB42/AA42-1)*100&lt;-100,"(&gt;100)",-(AB42/AA42-1)*100),IF((AB42/AA42-1)*100&gt;100,"&gt;100",(AB42/AA42-1)*100))))</f>
        <v>13.636363636363647</v>
      </c>
      <c r="AD42" s="75" t="str">
        <f>IF(AND(AB42=0,X42=0),0,IF(OR(AND(AB42&gt;0,X42&lt;=0),AND(AB42&lt;0,X42&gt;=0)),"nm",IF(AND(AB42&lt;0,X42&lt;0),IF(-(AB42/X42-1)*100&lt;-100,"(&gt;100)",-(AB42/X42-1)*100),IF((AB42/X42-1)*100&gt;100,"&gt;100",(AB42/X42-1)*100))))</f>
        <v>&gt;100</v>
      </c>
      <c r="AF42" s="75">
        <v>194</v>
      </c>
      <c r="AG42" s="575">
        <v>425</v>
      </c>
      <c r="AH42" s="75" t="str">
        <f>IF(AND(AG42=0,AF42=0),0,IF(OR(AND(AG42&gt;0,AF42&lt;=0),AND(AG42&lt;0,AF42&gt;=0)),"nm",IF(AND(AG42&lt;0,AF42&lt;0),IF(-(AG42/AF42-1)*100&lt;-100,"(&gt;100)",-(AG42/AF42-1)*100),IF((AG42/AF42-1)*100&gt;100,"&gt;100",(AG42/AF42-1)*100))))</f>
        <v>&gt;100</v>
      </c>
      <c r="AI42" s="121">
        <f>+W42</f>
        <v>177</v>
      </c>
      <c r="AJ42" s="122">
        <f>+AA42</f>
        <v>374</v>
      </c>
      <c r="AK42" s="121" t="str">
        <f>IF(AND(AJ42=0,AI42=0),0,IF(OR(AND(AJ42&gt;0,AI42&lt;=0),AND(AJ42&lt;0,AI42&gt;=0)),"nm",IF(AND(AJ42&lt;0,AI42&lt;0),IF(-(AJ42/AI42-1)*100&lt;-100,"(&gt;100)",-(AJ42/AI42-1)*100),IF((AJ42/AI42-1)*100&gt;100,"&gt;100",(AJ42/AI42-1)*100))))</f>
        <v>&gt;100</v>
      </c>
    </row>
    <row r="43" spans="1:37" ht="14.25">
      <c r="A43" s="29"/>
      <c r="B43" s="77" t="s">
        <v>77</v>
      </c>
      <c r="D43" s="131">
        <v>103</v>
      </c>
      <c r="E43" s="75">
        <v>2069</v>
      </c>
      <c r="F43" s="75">
        <v>1511</v>
      </c>
      <c r="G43" s="75">
        <v>1360</v>
      </c>
      <c r="H43" s="121">
        <v>1534</v>
      </c>
      <c r="J43" s="75">
        <v>436</v>
      </c>
      <c r="K43" s="75">
        <v>1429</v>
      </c>
      <c r="L43" s="75">
        <v>1446</v>
      </c>
      <c r="M43" s="75">
        <v>2069</v>
      </c>
      <c r="N43" s="75">
        <v>2014</v>
      </c>
      <c r="O43" s="75">
        <v>1887</v>
      </c>
      <c r="P43" s="75">
        <v>1743</v>
      </c>
      <c r="Q43" s="75">
        <v>1511</v>
      </c>
      <c r="R43" s="75">
        <v>1492</v>
      </c>
      <c r="S43" s="75">
        <v>1378</v>
      </c>
      <c r="T43" s="75">
        <v>1375</v>
      </c>
      <c r="U43" s="75">
        <v>1360</v>
      </c>
      <c r="V43" s="75">
        <v>1341</v>
      </c>
      <c r="W43" s="75">
        <v>1450</v>
      </c>
      <c r="X43" s="75">
        <v>1408</v>
      </c>
      <c r="Y43" s="75">
        <v>1534</v>
      </c>
      <c r="Z43" s="121">
        <v>1477</v>
      </c>
      <c r="AA43" s="121">
        <v>1505</v>
      </c>
      <c r="AB43" s="575">
        <v>1469</v>
      </c>
      <c r="AC43" s="75">
        <f>IF(AND(AB43=0,AB43=0),0,IF(OR(AND(AB43&gt;0,AA43&lt;=0),AND(AB43&lt;0,AA43&gt;=0)),"nm",IF(AND(AB43&lt;0,AA43&lt;0),IF(-(AB43/AA43-1)*100&lt;-100,"(&gt;100)",-(AB43/AA43-1)*100),IF((AB43/AA43-1)*100&gt;100,"&gt;100",(AB43/AA43-1)*100))))</f>
        <v>-2.392026578073092</v>
      </c>
      <c r="AD43" s="75">
        <f>IF(AND(AB43=0,X43=0),0,IF(OR(AND(AB43&gt;0,X43&lt;=0),AND(AB43&lt;0,X43&gt;=0)),"nm",IF(AND(AB43&lt;0,X43&lt;0),IF(-(AB43/X43-1)*100&lt;-100,"(&gt;100)",-(AB43/X43-1)*100),IF((AB43/X43-1)*100&gt;100,"&gt;100",(AB43/X43-1)*100))))</f>
        <v>4.3323863636363535</v>
      </c>
      <c r="AF43" s="75">
        <v>1408</v>
      </c>
      <c r="AG43" s="575">
        <v>1469</v>
      </c>
      <c r="AH43" s="75">
        <f>IF(AND(AG43=0,AF43=0),0,IF(OR(AND(AG43&gt;0,AF43&lt;=0),AND(AG43&lt;0,AF43&gt;=0)),"nm",IF(AND(AG43&lt;0,AF43&lt;0),IF(-(AG43/AF43-1)*100&lt;-100,"(&gt;100)",-(AG43/AF43-1)*100),IF((AG43/AF43-1)*100&gt;100,"&gt;100",(AG43/AF43-1)*100))))</f>
        <v>4.3323863636363535</v>
      </c>
      <c r="AI43" s="121">
        <f>+W43</f>
        <v>1450</v>
      </c>
      <c r="AJ43" s="122">
        <f>+AA43</f>
        <v>1505</v>
      </c>
      <c r="AK43" s="121">
        <f>IF(AND(AJ43=0,AI43=0),0,IF(OR(AND(AJ43&gt;0,AI43&lt;=0),AND(AJ43&lt;0,AI43&gt;=0)),"nm",IF(AND(AJ43&lt;0,AI43&lt;0),IF(-(AJ43/AI43-1)*100&lt;-100,"(&gt;100)",-(AJ43/AI43-1)*100),IF((AJ43/AI43-1)*100&gt;100,"&gt;100",(AJ43/AI43-1)*100))))</f>
        <v>3.7931034482758585</v>
      </c>
    </row>
    <row r="44" spans="1:33" ht="14.25">
      <c r="A44" s="49" t="s">
        <v>89</v>
      </c>
      <c r="D44" s="131"/>
      <c r="H44" s="121"/>
      <c r="Z44" s="436"/>
      <c r="AA44" s="121"/>
      <c r="AB44" s="575"/>
      <c r="AG44" s="575"/>
    </row>
    <row r="45" spans="1:37" ht="14.25">
      <c r="A45" s="29"/>
      <c r="B45" s="78" t="s">
        <v>83</v>
      </c>
      <c r="D45" s="131">
        <v>720</v>
      </c>
      <c r="E45" s="75">
        <v>735</v>
      </c>
      <c r="F45" s="75">
        <v>502</v>
      </c>
      <c r="G45" s="75">
        <v>383</v>
      </c>
      <c r="H45" s="121">
        <v>352</v>
      </c>
      <c r="J45" s="75">
        <v>824</v>
      </c>
      <c r="K45" s="75">
        <v>782</v>
      </c>
      <c r="L45" s="75">
        <v>694</v>
      </c>
      <c r="M45" s="75">
        <v>735</v>
      </c>
      <c r="N45" s="75">
        <v>697</v>
      </c>
      <c r="O45" s="75">
        <v>612</v>
      </c>
      <c r="P45" s="75">
        <v>533</v>
      </c>
      <c r="Q45" s="75">
        <v>502</v>
      </c>
      <c r="R45" s="75">
        <v>462</v>
      </c>
      <c r="S45" s="75">
        <v>415</v>
      </c>
      <c r="T45" s="75">
        <v>409</v>
      </c>
      <c r="U45" s="75">
        <v>383</v>
      </c>
      <c r="V45" s="75">
        <v>356</v>
      </c>
      <c r="W45" s="75">
        <v>392</v>
      </c>
      <c r="X45" s="75">
        <v>363</v>
      </c>
      <c r="Y45" s="75">
        <v>352</v>
      </c>
      <c r="Z45" s="121">
        <v>395</v>
      </c>
      <c r="AA45" s="121">
        <v>481</v>
      </c>
      <c r="AB45" s="575">
        <v>526</v>
      </c>
      <c r="AC45" s="75">
        <f aca="true" t="shared" si="0" ref="AC45:AC52">IF(AND(AB45=0,AB45=0),0,IF(OR(AND(AB45&gt;0,AA45&lt;=0),AND(AB45&lt;0,AA45&gt;=0)),"nm",IF(AND(AB45&lt;0,AA45&lt;0),IF(-(AB45/AA45-1)*100&lt;-100,"(&gt;100)",-(AB45/AA45-1)*100),IF((AB45/AA45-1)*100&gt;100,"&gt;100",(AB45/AA45-1)*100))))</f>
        <v>9.355509355509351</v>
      </c>
      <c r="AD45" s="75">
        <f aca="true" t="shared" si="1" ref="AD45:AD52">IF(AND(AB45=0,X45=0),0,IF(OR(AND(AB45&gt;0,X45&lt;=0),AND(AB45&lt;0,X45&gt;=0)),"nm",IF(AND(AB45&lt;0,X45&lt;0),IF(-(AB45/X45-1)*100&lt;-100,"(&gt;100)",-(AB45/X45-1)*100),IF((AB45/X45-1)*100&gt;100,"&gt;100",(AB45/X45-1)*100))))</f>
        <v>44.90358126721763</v>
      </c>
      <c r="AF45" s="75">
        <v>363</v>
      </c>
      <c r="AG45" s="575">
        <v>526</v>
      </c>
      <c r="AH45" s="75">
        <f aca="true" t="shared" si="2" ref="AH45:AH52">IF(AND(AG45=0,AF45=0),0,IF(OR(AND(AG45&gt;0,AF45&lt;=0),AND(AG45&lt;0,AF45&gt;=0)),"nm",IF(AND(AG45&lt;0,AF45&lt;0),IF(-(AG45/AF45-1)*100&lt;-100,"(&gt;100)",-(AG45/AF45-1)*100),IF((AG45/AF45-1)*100&gt;100,"&gt;100",(AG45/AF45-1)*100))))</f>
        <v>44.90358126721763</v>
      </c>
      <c r="AI45" s="121">
        <f>+W45</f>
        <v>392</v>
      </c>
      <c r="AJ45" s="122">
        <f>+AA45</f>
        <v>481</v>
      </c>
      <c r="AK45" s="121">
        <f aca="true" t="shared" si="3" ref="AK45:AK52">IF(AND(AJ45=0,AI45=0),0,IF(OR(AND(AJ45&gt;0,AI45&lt;=0),AND(AJ45&lt;0,AI45&gt;=0)),"nm",IF(AND(AJ45&lt;0,AI45&lt;0),IF(-(AJ45/AI45-1)*100&lt;-100,"(&gt;100)",-(AJ45/AI45-1)*100),IF((AJ45/AI45-1)*100&gt;100,"&gt;100",(AJ45/AI45-1)*100))))</f>
        <v>22.70408163265305</v>
      </c>
    </row>
    <row r="46" spans="2:37" ht="14.25">
      <c r="B46" s="78" t="s">
        <v>84</v>
      </c>
      <c r="D46" s="131">
        <v>96</v>
      </c>
      <c r="E46" s="75">
        <v>89</v>
      </c>
      <c r="F46" s="75">
        <v>90</v>
      </c>
      <c r="G46" s="75">
        <v>92</v>
      </c>
      <c r="H46" s="121">
        <v>83</v>
      </c>
      <c r="J46" s="75">
        <v>258</v>
      </c>
      <c r="K46" s="75">
        <v>203</v>
      </c>
      <c r="L46" s="75">
        <v>93</v>
      </c>
      <c r="M46" s="75">
        <v>89</v>
      </c>
      <c r="N46" s="75">
        <v>131</v>
      </c>
      <c r="O46" s="75">
        <v>47</v>
      </c>
      <c r="P46" s="75">
        <v>39</v>
      </c>
      <c r="Q46" s="75">
        <v>90</v>
      </c>
      <c r="R46" s="75">
        <v>98</v>
      </c>
      <c r="S46" s="75">
        <v>84</v>
      </c>
      <c r="T46" s="75">
        <v>83</v>
      </c>
      <c r="U46" s="75">
        <v>92</v>
      </c>
      <c r="V46" s="75">
        <v>102</v>
      </c>
      <c r="W46" s="75">
        <v>101</v>
      </c>
      <c r="X46" s="75">
        <v>84</v>
      </c>
      <c r="Y46" s="75">
        <v>83</v>
      </c>
      <c r="Z46" s="121">
        <v>84</v>
      </c>
      <c r="AA46" s="121">
        <v>114</v>
      </c>
      <c r="AB46" s="575">
        <v>122</v>
      </c>
      <c r="AC46" s="75">
        <f t="shared" si="0"/>
        <v>7.017543859649122</v>
      </c>
      <c r="AD46" s="75">
        <f t="shared" si="1"/>
        <v>45.238095238095234</v>
      </c>
      <c r="AF46" s="75">
        <v>84</v>
      </c>
      <c r="AG46" s="575">
        <v>122</v>
      </c>
      <c r="AH46" s="75">
        <f t="shared" si="2"/>
        <v>45.238095238095234</v>
      </c>
      <c r="AI46" s="121">
        <f aca="true" t="shared" si="4" ref="AI46:AI52">+W46</f>
        <v>101</v>
      </c>
      <c r="AJ46" s="122">
        <f aca="true" t="shared" si="5" ref="AJ46:AJ52">+AA46</f>
        <v>114</v>
      </c>
      <c r="AK46" s="121">
        <f t="shared" si="3"/>
        <v>12.871287128712861</v>
      </c>
    </row>
    <row r="47" spans="2:37" ht="14.25">
      <c r="B47" s="78" t="s">
        <v>85</v>
      </c>
      <c r="D47" s="131">
        <v>193</v>
      </c>
      <c r="E47" s="75">
        <v>188</v>
      </c>
      <c r="F47" s="75">
        <v>118</v>
      </c>
      <c r="G47" s="75">
        <v>108</v>
      </c>
      <c r="H47" s="121">
        <v>106</v>
      </c>
      <c r="J47" s="75">
        <v>214</v>
      </c>
      <c r="K47" s="75">
        <v>242</v>
      </c>
      <c r="L47" s="75">
        <v>234</v>
      </c>
      <c r="M47" s="75">
        <v>188</v>
      </c>
      <c r="N47" s="75">
        <v>175</v>
      </c>
      <c r="O47" s="75">
        <v>140</v>
      </c>
      <c r="P47" s="75">
        <v>125</v>
      </c>
      <c r="Q47" s="75">
        <v>118</v>
      </c>
      <c r="R47" s="75">
        <v>115</v>
      </c>
      <c r="S47" s="75">
        <v>107</v>
      </c>
      <c r="T47" s="75">
        <v>103</v>
      </c>
      <c r="U47" s="75">
        <v>108</v>
      </c>
      <c r="V47" s="75">
        <v>105</v>
      </c>
      <c r="W47" s="75">
        <v>104</v>
      </c>
      <c r="X47" s="75">
        <v>103</v>
      </c>
      <c r="Y47" s="75">
        <v>106</v>
      </c>
      <c r="Z47" s="121">
        <v>120</v>
      </c>
      <c r="AA47" s="121">
        <v>118</v>
      </c>
      <c r="AB47" s="575">
        <v>119</v>
      </c>
      <c r="AC47" s="75">
        <f t="shared" si="0"/>
        <v>0.8474576271186418</v>
      </c>
      <c r="AD47" s="75">
        <f t="shared" si="1"/>
        <v>15.533980582524265</v>
      </c>
      <c r="AF47" s="75">
        <v>103</v>
      </c>
      <c r="AG47" s="575">
        <v>119</v>
      </c>
      <c r="AH47" s="75">
        <f t="shared" si="2"/>
        <v>15.533980582524265</v>
      </c>
      <c r="AI47" s="121">
        <f t="shared" si="4"/>
        <v>104</v>
      </c>
      <c r="AJ47" s="122">
        <f t="shared" si="5"/>
        <v>118</v>
      </c>
      <c r="AK47" s="121">
        <f t="shared" si="3"/>
        <v>13.461538461538458</v>
      </c>
    </row>
    <row r="48" spans="2:37" ht="14.25">
      <c r="B48" s="78" t="s">
        <v>86</v>
      </c>
      <c r="D48" s="131">
        <v>381</v>
      </c>
      <c r="E48" s="75">
        <v>472</v>
      </c>
      <c r="F48" s="75">
        <v>248</v>
      </c>
      <c r="G48" s="75">
        <v>269</v>
      </c>
      <c r="H48" s="121">
        <v>277</v>
      </c>
      <c r="J48" s="75">
        <v>472</v>
      </c>
      <c r="K48" s="75">
        <v>509</v>
      </c>
      <c r="L48" s="75">
        <v>480</v>
      </c>
      <c r="M48" s="75">
        <v>472</v>
      </c>
      <c r="N48" s="75">
        <v>459</v>
      </c>
      <c r="O48" s="75">
        <v>411</v>
      </c>
      <c r="P48" s="75">
        <v>322</v>
      </c>
      <c r="Q48" s="75">
        <v>248</v>
      </c>
      <c r="R48" s="75">
        <v>274</v>
      </c>
      <c r="S48" s="75">
        <v>252</v>
      </c>
      <c r="T48" s="75">
        <v>280</v>
      </c>
      <c r="U48" s="75">
        <v>269</v>
      </c>
      <c r="V48" s="75">
        <v>295</v>
      </c>
      <c r="W48" s="75">
        <v>291</v>
      </c>
      <c r="X48" s="75">
        <v>268</v>
      </c>
      <c r="Y48" s="75">
        <v>277</v>
      </c>
      <c r="Z48" s="121">
        <v>386</v>
      </c>
      <c r="AA48" s="121">
        <v>406</v>
      </c>
      <c r="AB48" s="575">
        <v>424</v>
      </c>
      <c r="AC48" s="75">
        <f t="shared" si="0"/>
        <v>4.4334975369458185</v>
      </c>
      <c r="AD48" s="75">
        <f t="shared" si="1"/>
        <v>58.20895522388059</v>
      </c>
      <c r="AF48" s="75">
        <v>268</v>
      </c>
      <c r="AG48" s="575">
        <v>424</v>
      </c>
      <c r="AH48" s="75">
        <f t="shared" si="2"/>
        <v>58.20895522388059</v>
      </c>
      <c r="AI48" s="121">
        <f t="shared" si="4"/>
        <v>291</v>
      </c>
      <c r="AJ48" s="122">
        <f t="shared" si="5"/>
        <v>406</v>
      </c>
      <c r="AK48" s="121">
        <f t="shared" si="3"/>
        <v>39.518900343642606</v>
      </c>
    </row>
    <row r="49" spans="2:37" ht="14.25">
      <c r="B49" s="78" t="s">
        <v>87</v>
      </c>
      <c r="D49" s="131">
        <v>24</v>
      </c>
      <c r="E49" s="75">
        <v>264</v>
      </c>
      <c r="F49" s="75">
        <v>646</v>
      </c>
      <c r="G49" s="75">
        <v>563</v>
      </c>
      <c r="H49" s="121">
        <v>692</v>
      </c>
      <c r="J49" s="75">
        <v>29</v>
      </c>
      <c r="K49" s="75">
        <v>221</v>
      </c>
      <c r="L49" s="75">
        <v>246</v>
      </c>
      <c r="M49" s="75">
        <v>264</v>
      </c>
      <c r="N49" s="75">
        <v>290</v>
      </c>
      <c r="O49" s="75">
        <v>284</v>
      </c>
      <c r="P49" s="75">
        <v>628</v>
      </c>
      <c r="Q49" s="75">
        <v>646</v>
      </c>
      <c r="R49" s="75">
        <v>630</v>
      </c>
      <c r="S49" s="75">
        <v>575</v>
      </c>
      <c r="T49" s="75">
        <v>434</v>
      </c>
      <c r="U49" s="75">
        <v>563</v>
      </c>
      <c r="V49" s="75">
        <v>1116</v>
      </c>
      <c r="W49" s="121">
        <v>1174</v>
      </c>
      <c r="X49" s="121">
        <v>1167</v>
      </c>
      <c r="Y49" s="75">
        <v>1201</v>
      </c>
      <c r="Z49" s="121">
        <v>1201</v>
      </c>
      <c r="AA49" s="121">
        <v>1231</v>
      </c>
      <c r="AB49" s="575">
        <v>1211</v>
      </c>
      <c r="AC49" s="75">
        <f t="shared" si="0"/>
        <v>-1.624695369618201</v>
      </c>
      <c r="AD49" s="75">
        <f t="shared" si="1"/>
        <v>3.7703513281919454</v>
      </c>
      <c r="AF49" s="496">
        <v>1167</v>
      </c>
      <c r="AG49" s="575">
        <v>1211</v>
      </c>
      <c r="AH49" s="75">
        <f t="shared" si="2"/>
        <v>3.7703513281919454</v>
      </c>
      <c r="AI49" s="121">
        <f t="shared" si="4"/>
        <v>1174</v>
      </c>
      <c r="AJ49" s="122">
        <f t="shared" si="5"/>
        <v>1231</v>
      </c>
      <c r="AK49" s="121">
        <f t="shared" si="3"/>
        <v>4.855195911413968</v>
      </c>
    </row>
    <row r="50" spans="2:37" ht="14.25">
      <c r="B50" s="78" t="s">
        <v>88</v>
      </c>
      <c r="D50" s="131">
        <v>145</v>
      </c>
      <c r="E50" s="75">
        <v>1738</v>
      </c>
      <c r="F50" s="75">
        <v>960</v>
      </c>
      <c r="G50" s="75">
        <v>930</v>
      </c>
      <c r="H50" s="121">
        <v>913</v>
      </c>
      <c r="J50" s="75">
        <v>433</v>
      </c>
      <c r="K50" s="75">
        <v>1209</v>
      </c>
      <c r="L50" s="75">
        <v>1200</v>
      </c>
      <c r="M50" s="75">
        <v>1738</v>
      </c>
      <c r="N50" s="75">
        <v>1649</v>
      </c>
      <c r="O50" s="75">
        <v>1622</v>
      </c>
      <c r="P50" s="75">
        <v>1200</v>
      </c>
      <c r="Q50" s="75">
        <v>960</v>
      </c>
      <c r="R50" s="75">
        <v>948</v>
      </c>
      <c r="S50" s="75">
        <v>867</v>
      </c>
      <c r="T50" s="75">
        <v>927</v>
      </c>
      <c r="U50" s="75">
        <v>930</v>
      </c>
      <c r="V50" s="75">
        <v>386</v>
      </c>
      <c r="W50" s="121">
        <v>423</v>
      </c>
      <c r="X50" s="121">
        <v>412</v>
      </c>
      <c r="Y50" s="75">
        <v>404</v>
      </c>
      <c r="Z50" s="121">
        <v>291</v>
      </c>
      <c r="AA50" s="121">
        <v>297</v>
      </c>
      <c r="AB50" s="575">
        <v>301</v>
      </c>
      <c r="AC50" s="75">
        <f t="shared" si="0"/>
        <v>1.3468013468013407</v>
      </c>
      <c r="AD50" s="75">
        <f t="shared" si="1"/>
        <v>-26.941747572815533</v>
      </c>
      <c r="AF50" s="496">
        <v>412</v>
      </c>
      <c r="AG50" s="575">
        <v>301</v>
      </c>
      <c r="AH50" s="75">
        <f t="shared" si="2"/>
        <v>-26.941747572815533</v>
      </c>
      <c r="AI50" s="121">
        <f t="shared" si="4"/>
        <v>423</v>
      </c>
      <c r="AJ50" s="122">
        <f t="shared" si="5"/>
        <v>297</v>
      </c>
      <c r="AK50" s="121">
        <f t="shared" si="3"/>
        <v>-29.78723404255319</v>
      </c>
    </row>
    <row r="51" spans="2:37" ht="28.5" customHeight="1">
      <c r="B51" s="593" t="s">
        <v>419</v>
      </c>
      <c r="C51" s="593"/>
      <c r="D51" s="131">
        <v>223</v>
      </c>
      <c r="E51" s="75">
        <v>234</v>
      </c>
      <c r="F51" s="75">
        <v>173</v>
      </c>
      <c r="G51" s="75">
        <v>175</v>
      </c>
      <c r="H51" s="121">
        <v>162</v>
      </c>
      <c r="J51" s="75">
        <v>299</v>
      </c>
      <c r="K51" s="75">
        <v>310</v>
      </c>
      <c r="L51" s="75">
        <v>265</v>
      </c>
      <c r="M51" s="75">
        <v>234</v>
      </c>
      <c r="N51" s="75">
        <v>212</v>
      </c>
      <c r="O51" s="75">
        <v>176</v>
      </c>
      <c r="P51" s="75">
        <v>174</v>
      </c>
      <c r="Q51" s="75">
        <v>173</v>
      </c>
      <c r="R51" s="75">
        <v>179</v>
      </c>
      <c r="S51" s="75">
        <v>180</v>
      </c>
      <c r="T51" s="75">
        <v>169</v>
      </c>
      <c r="U51" s="75">
        <v>175</v>
      </c>
      <c r="V51" s="75">
        <v>172</v>
      </c>
      <c r="W51" s="75">
        <v>176</v>
      </c>
      <c r="X51" s="75">
        <v>174</v>
      </c>
      <c r="Y51" s="75">
        <v>162</v>
      </c>
      <c r="Z51" s="121">
        <v>159</v>
      </c>
      <c r="AA51" s="121">
        <v>158</v>
      </c>
      <c r="AB51" s="575">
        <v>156</v>
      </c>
      <c r="AC51" s="75">
        <f t="shared" si="0"/>
        <v>-1.2658227848101222</v>
      </c>
      <c r="AD51" s="75">
        <f t="shared" si="1"/>
        <v>-10.344827586206895</v>
      </c>
      <c r="AF51" s="496">
        <v>174</v>
      </c>
      <c r="AG51" s="575">
        <v>156</v>
      </c>
      <c r="AH51" s="75">
        <f t="shared" si="2"/>
        <v>-10.344827586206895</v>
      </c>
      <c r="AI51" s="121">
        <f t="shared" si="4"/>
        <v>176</v>
      </c>
      <c r="AJ51" s="122">
        <f t="shared" si="5"/>
        <v>158</v>
      </c>
      <c r="AK51" s="121">
        <f t="shared" si="3"/>
        <v>-10.22727272727273</v>
      </c>
    </row>
    <row r="52" spans="2:37" ht="14.25">
      <c r="B52" s="78" t="s">
        <v>35</v>
      </c>
      <c r="D52" s="131">
        <v>176</v>
      </c>
      <c r="E52" s="75">
        <v>156</v>
      </c>
      <c r="F52" s="75">
        <v>141</v>
      </c>
      <c r="G52" s="75">
        <v>119</v>
      </c>
      <c r="H52" s="121">
        <v>42</v>
      </c>
      <c r="J52" s="75">
        <v>192</v>
      </c>
      <c r="K52" s="75">
        <v>216</v>
      </c>
      <c r="L52" s="75">
        <v>207</v>
      </c>
      <c r="M52" s="75">
        <v>156</v>
      </c>
      <c r="N52" s="75">
        <v>151</v>
      </c>
      <c r="O52" s="75">
        <v>139</v>
      </c>
      <c r="P52" s="75">
        <v>150</v>
      </c>
      <c r="Q52" s="75">
        <v>141</v>
      </c>
      <c r="R52" s="75">
        <v>100</v>
      </c>
      <c r="S52" s="75">
        <v>117</v>
      </c>
      <c r="T52" s="75">
        <v>106</v>
      </c>
      <c r="U52" s="75">
        <v>119</v>
      </c>
      <c r="V52" s="75">
        <v>116</v>
      </c>
      <c r="W52" s="75">
        <v>100</v>
      </c>
      <c r="X52" s="75">
        <v>78</v>
      </c>
      <c r="Y52" s="75">
        <v>42</v>
      </c>
      <c r="Z52" s="121">
        <v>34</v>
      </c>
      <c r="AA52" s="121">
        <v>70</v>
      </c>
      <c r="AB52" s="575">
        <v>79</v>
      </c>
      <c r="AC52" s="75">
        <f t="shared" si="0"/>
        <v>12.857142857142856</v>
      </c>
      <c r="AD52" s="75">
        <f t="shared" si="1"/>
        <v>1.2820512820512775</v>
      </c>
      <c r="AF52" s="75">
        <v>78</v>
      </c>
      <c r="AG52" s="575">
        <v>79</v>
      </c>
      <c r="AH52" s="75">
        <f t="shared" si="2"/>
        <v>1.2820512820512775</v>
      </c>
      <c r="AI52" s="121">
        <f t="shared" si="4"/>
        <v>100</v>
      </c>
      <c r="AJ52" s="122">
        <f t="shared" si="5"/>
        <v>70</v>
      </c>
      <c r="AK52" s="121">
        <f t="shared" si="3"/>
        <v>-30.000000000000004</v>
      </c>
    </row>
    <row r="53" spans="4:33" ht="14.25">
      <c r="D53" s="131"/>
      <c r="H53" s="121"/>
      <c r="Z53" s="436"/>
      <c r="AA53" s="121"/>
      <c r="AB53" s="575"/>
      <c r="AG53" s="489"/>
    </row>
    <row r="54" spans="1:33" ht="15">
      <c r="A54" s="47" t="s">
        <v>216</v>
      </c>
      <c r="B54" s="24"/>
      <c r="C54" s="24"/>
      <c r="D54" s="131"/>
      <c r="H54" s="121"/>
      <c r="Z54" s="436"/>
      <c r="AA54" s="121"/>
      <c r="AB54" s="575"/>
      <c r="AG54" s="489"/>
    </row>
    <row r="55" spans="2:37" s="18" customFormat="1" ht="15">
      <c r="B55" s="18" t="s">
        <v>115</v>
      </c>
      <c r="C55" s="89"/>
      <c r="D55" s="104">
        <v>1442</v>
      </c>
      <c r="E55" s="17">
        <v>2392</v>
      </c>
      <c r="F55" s="17">
        <v>4219</v>
      </c>
      <c r="G55" s="17">
        <v>3213</v>
      </c>
      <c r="H55" s="17">
        <v>2904</v>
      </c>
      <c r="I55" s="17"/>
      <c r="J55" s="17">
        <v>2392</v>
      </c>
      <c r="K55" s="17">
        <v>3233</v>
      </c>
      <c r="L55" s="17">
        <v>4051</v>
      </c>
      <c r="M55" s="17">
        <v>3823</v>
      </c>
      <c r="N55" s="17">
        <v>4219</v>
      </c>
      <c r="O55" s="17">
        <v>4068</v>
      </c>
      <c r="P55" s="17">
        <v>3724</v>
      </c>
      <c r="Q55" s="17">
        <v>3505</v>
      </c>
      <c r="R55" s="17">
        <v>3213</v>
      </c>
      <c r="S55" s="17">
        <v>3098</v>
      </c>
      <c r="T55" s="17">
        <v>2883</v>
      </c>
      <c r="U55" s="17">
        <v>2780</v>
      </c>
      <c r="V55" s="17">
        <v>2904</v>
      </c>
      <c r="W55" s="17">
        <v>2908</v>
      </c>
      <c r="X55" s="17">
        <v>2956</v>
      </c>
      <c r="Y55" s="17">
        <v>2835</v>
      </c>
      <c r="Z55" s="17">
        <v>2726</v>
      </c>
      <c r="AA55" s="17">
        <v>2767</v>
      </c>
      <c r="AB55" s="572">
        <v>2966</v>
      </c>
      <c r="AC55" s="17">
        <f>IF(AND(AB55=0,AB55=0),0,IF(OR(AND(AB55&gt;0,AA55&lt;=0),AND(AB55&lt;0,AA55&gt;=0)),"nm",IF(AND(AB55&lt;0,AA55&lt;0),IF(-(AB55/AA55-1)*100&lt;-100,"(&gt;100)",-(AB55/AA55-1)*100),IF((AB55/AA55-1)*100&gt;100,"&gt;100",(AB55/AA55-1)*100))))</f>
        <v>7.191904589808451</v>
      </c>
      <c r="AD55" s="17">
        <f>IF(AND(AB55=0,X55=0),0,IF(OR(AND(AB55&gt;0,X55&lt;=0),AND(AB55&lt;0,X55&gt;=0)),"nm",IF(AND(AB55&lt;0,X55&lt;0),IF(-(AB55/X55-1)*100&lt;-100,"(&gt;100)",-(AB55/X55-1)*100),IF((AB55/X55-1)*100&gt;100,"&gt;100",(AB55/X55-1)*100))))</f>
        <v>0.3382949932341006</v>
      </c>
      <c r="AE55" s="15"/>
      <c r="AF55" s="312">
        <v>2904</v>
      </c>
      <c r="AG55" s="572">
        <v>2726</v>
      </c>
      <c r="AH55" s="17">
        <f>IF(AND(AG55=0,AF55=0),0,IF(OR(AND(AG55&gt;0,AF55&lt;=0),AND(AG55&lt;0,AF55&gt;=0)),"nm",IF(AND(AG55&lt;0,AF55&lt;0),IF(-(AG55/AF55-1)*100&lt;-100,"(&gt;100)",-(AG55/AF55-1)*100),IF((AG55/AF55-1)*100&gt;100,"&gt;100",(AG55/AF55-1)*100))))</f>
        <v>-6.129476584022042</v>
      </c>
      <c r="AI55" s="17">
        <v>2904</v>
      </c>
      <c r="AJ55" s="125">
        <v>2726</v>
      </c>
      <c r="AK55" s="17">
        <f>IF(AND(AJ55=0,AI55=0),0,IF(OR(AND(AJ55&gt;0,AI55&lt;=0),AND(AJ55&lt;0,AI55&gt;=0)),"nm",IF(AND(AJ55&lt;0,AI55&lt;0),IF(-(AJ55/AI55-1)*100&lt;-100,"(&gt;100)",-(AJ55/AI55-1)*100),IF((AJ55/AI55-1)*100&gt;100,"&gt;100",(AJ55/AI55-1)*100))))</f>
        <v>-6.129476584022042</v>
      </c>
    </row>
    <row r="56" spans="2:37" ht="14.25">
      <c r="B56" s="22" t="s">
        <v>112</v>
      </c>
      <c r="C56" s="90"/>
      <c r="D56" s="131">
        <v>1714</v>
      </c>
      <c r="E56" s="75">
        <v>3372</v>
      </c>
      <c r="F56" s="75">
        <v>1081</v>
      </c>
      <c r="G56" s="75">
        <v>572</v>
      </c>
      <c r="H56" s="121">
        <v>364</v>
      </c>
      <c r="J56" s="75">
        <v>926</v>
      </c>
      <c r="K56" s="75">
        <v>1451</v>
      </c>
      <c r="L56" s="75">
        <v>208</v>
      </c>
      <c r="M56" s="75">
        <v>787</v>
      </c>
      <c r="N56" s="75">
        <v>207</v>
      </c>
      <c r="O56" s="75">
        <v>115</v>
      </c>
      <c r="P56" s="75">
        <v>552</v>
      </c>
      <c r="Q56" s="75">
        <v>207</v>
      </c>
      <c r="R56" s="75">
        <v>108</v>
      </c>
      <c r="S56" s="75">
        <v>91</v>
      </c>
      <c r="T56" s="75">
        <v>161</v>
      </c>
      <c r="U56" s="75">
        <v>212</v>
      </c>
      <c r="V56" s="75">
        <v>133</v>
      </c>
      <c r="W56" s="75">
        <v>121</v>
      </c>
      <c r="X56" s="75">
        <v>50</v>
      </c>
      <c r="Y56" s="75">
        <v>112</v>
      </c>
      <c r="Z56" s="121">
        <v>268</v>
      </c>
      <c r="AA56" s="121">
        <v>242</v>
      </c>
      <c r="AB56" s="575">
        <v>291</v>
      </c>
      <c r="AC56" s="75">
        <f>IF(AND(AB56=0,AB56=0),0,IF(OR(AND(AB56&gt;0,AA56&lt;=0),AND(AB56&lt;0,AA56&gt;=0)),"nm",IF(AND(AB56&lt;0,AA56&lt;0),IF(-(AB56/AA56-1)*100&lt;-100,"(&gt;100)",-(AB56/AA56-1)*100),IF((AB56/AA56-1)*100&gt;100,"&gt;100",(AB56/AA56-1)*100))))</f>
        <v>20.24793388429753</v>
      </c>
      <c r="AD56" s="75" t="str">
        <f>IF(AND(AB56=0,X56=0),0,IF(OR(AND(AB56&gt;0,X56&lt;=0),AND(AB56&lt;0,X56&gt;=0)),"nm",IF(AND(AB56&lt;0,X56&lt;0),IF(-(AB56/X56-1)*100&lt;-100,"(&gt;100)",-(AB56/X56-1)*100),IF((AB56/X56-1)*100&gt;100,"&gt;100",(AB56/X56-1)*100))))</f>
        <v>&gt;100</v>
      </c>
      <c r="AF56" s="261">
        <v>304</v>
      </c>
      <c r="AG56" s="575">
        <v>655</v>
      </c>
      <c r="AH56" s="75" t="str">
        <f>IF(AND(AG56=0,AF56=0),0,IF(OR(AND(AG56&gt;0,AF56&lt;=0),AND(AG56&lt;0,AF56&gt;=0)),"nm",IF(AND(AG56&lt;0,AF56&lt;0),IF(-(AG56/AF56-1)*100&lt;-100,"(&gt;100)",-(AG56/AF56-1)*100),IF((AG56/AF56-1)*100&gt;100,"&gt;100",(AG56/AF56-1)*100))))</f>
        <v>&gt;100</v>
      </c>
      <c r="AI56" s="121">
        <v>254</v>
      </c>
      <c r="AJ56" s="122">
        <v>504</v>
      </c>
      <c r="AK56" s="121">
        <f>IF(AND(AJ56=0,AI56=0),0,IF(OR(AND(AJ56&gt;0,AI56&lt;=0),AND(AJ56&lt;0,AI56&gt;=0)),"nm",IF(AND(AJ56&lt;0,AI56&lt;0),IF(-(AJ56/AI56-1)*100&lt;-100,"(&gt;100)",-(AJ56/AI56-1)*100),IF((AJ56/AI56-1)*100&gt;100,"&gt;100",(AJ56/AI56-1)*100))))</f>
        <v>98.4251968503937</v>
      </c>
    </row>
    <row r="57" spans="2:37" ht="14.25">
      <c r="B57" s="22" t="s">
        <v>114</v>
      </c>
      <c r="C57" s="90"/>
      <c r="D57" s="131">
        <v>482</v>
      </c>
      <c r="E57" s="75">
        <v>915</v>
      </c>
      <c r="F57" s="75">
        <v>947</v>
      </c>
      <c r="G57" s="75">
        <v>561</v>
      </c>
      <c r="H57" s="121">
        <v>364</v>
      </c>
      <c r="J57" s="75">
        <v>11</v>
      </c>
      <c r="K57" s="75">
        <v>313</v>
      </c>
      <c r="L57" s="75">
        <v>325</v>
      </c>
      <c r="M57" s="75">
        <v>266</v>
      </c>
      <c r="N57" s="75">
        <v>246</v>
      </c>
      <c r="O57" s="75">
        <v>268</v>
      </c>
      <c r="P57" s="75">
        <v>280</v>
      </c>
      <c r="Q57" s="75">
        <v>153</v>
      </c>
      <c r="R57" s="75">
        <v>111</v>
      </c>
      <c r="S57" s="75">
        <v>266</v>
      </c>
      <c r="T57" s="75">
        <v>157</v>
      </c>
      <c r="U57" s="75">
        <v>27</v>
      </c>
      <c r="V57" s="75">
        <v>96</v>
      </c>
      <c r="W57" s="75">
        <v>36</v>
      </c>
      <c r="X57" s="75">
        <v>120</v>
      </c>
      <c r="Y57" s="75">
        <v>152</v>
      </c>
      <c r="Z57" s="121">
        <v>12</v>
      </c>
      <c r="AA57" s="121">
        <v>-10</v>
      </c>
      <c r="AB57" s="575">
        <v>23</v>
      </c>
      <c r="AC57" s="75" t="str">
        <f>IF(AND(AB57=0,AB57=0),0,IF(OR(AND(AB57&gt;0,AA57&lt;=0),AND(AB57&lt;0,AA57&gt;=0)),"nm",IF(AND(AB57&lt;0,AA57&lt;0),IF(-(AB57/AA57-1)*100&lt;-100,"(&gt;100)",-(AB57/AA57-1)*100),IF((AB57/AA57-1)*100&gt;100,"&gt;100",(AB57/AA57-1)*100))))</f>
        <v>nm</v>
      </c>
      <c r="AD57" s="75">
        <f>IF(AND(AB57=0,X57=0),0,IF(OR(AND(AB57&gt;0,X57&lt;=0),AND(AB57&lt;0,X57&gt;=0)),"nm",IF(AND(AB57&lt;0,X57&lt;0),IF(-(AB57/X57-1)*100&lt;-100,"(&gt;100)",-(AB57/X57-1)*100),IF((AB57/X57-1)*100&gt;100,"&gt;100",(AB57/X57-1)*100))))</f>
        <v>-80.83333333333333</v>
      </c>
      <c r="AF57" s="261">
        <v>252</v>
      </c>
      <c r="AG57" s="575">
        <v>6</v>
      </c>
      <c r="AH57" s="75">
        <f>IF(AND(AG57=0,AF57=0),0,IF(OR(AND(AG57&gt;0,AF57&lt;=0),AND(AG57&lt;0,AF57&gt;=0)),"nm",IF(AND(AG57&lt;0,AF57&lt;0),IF(-(AG57/AF57-1)*100&lt;-100,"(&gt;100)",-(AG57/AF57-1)*100),IF((AG57/AF57-1)*100&gt;100,"&gt;100",(AG57/AF57-1)*100))))</f>
        <v>-97.61904761904762</v>
      </c>
      <c r="AI57" s="121">
        <v>132</v>
      </c>
      <c r="AJ57" s="122">
        <v>-1</v>
      </c>
      <c r="AK57" s="121" t="str">
        <f>IF(AND(AJ57=0,AI57=0),0,IF(OR(AND(AJ57&gt;0,AI57&lt;=0),AND(AJ57&lt;0,AI57&gt;=0)),"nm",IF(AND(AJ57&lt;0,AI57&lt;0),IF(-(AJ57/AI57-1)*100&lt;-100,"(&gt;100)",-(AJ57/AI57-1)*100),IF((AJ57/AI57-1)*100&gt;100,"&gt;100",(AJ57/AI57-1)*100))))</f>
        <v>nm</v>
      </c>
    </row>
    <row r="58" spans="2:37" ht="14.25">
      <c r="B58" s="22" t="s">
        <v>113</v>
      </c>
      <c r="C58" s="22"/>
      <c r="D58" s="131">
        <v>282</v>
      </c>
      <c r="E58" s="75">
        <v>630</v>
      </c>
      <c r="F58" s="75">
        <v>1140</v>
      </c>
      <c r="G58" s="75">
        <v>320</v>
      </c>
      <c r="H58" s="121">
        <v>178</v>
      </c>
      <c r="J58" s="75">
        <v>74</v>
      </c>
      <c r="K58" s="75">
        <v>320</v>
      </c>
      <c r="L58" s="75">
        <v>111</v>
      </c>
      <c r="M58" s="75">
        <v>125</v>
      </c>
      <c r="N58" s="75">
        <v>112</v>
      </c>
      <c r="O58" s="75">
        <v>191</v>
      </c>
      <c r="P58" s="75">
        <v>491</v>
      </c>
      <c r="Q58" s="75">
        <v>346</v>
      </c>
      <c r="R58" s="75">
        <v>112</v>
      </c>
      <c r="S58" s="75">
        <v>40</v>
      </c>
      <c r="T58" s="75">
        <v>107</v>
      </c>
      <c r="U58" s="75">
        <v>61</v>
      </c>
      <c r="V58" s="75">
        <v>33</v>
      </c>
      <c r="W58" s="75">
        <v>37</v>
      </c>
      <c r="X58" s="75">
        <v>51</v>
      </c>
      <c r="Y58" s="75">
        <v>69</v>
      </c>
      <c r="Z58" s="121">
        <v>215</v>
      </c>
      <c r="AA58" s="121">
        <v>53</v>
      </c>
      <c r="AB58" s="575">
        <v>180</v>
      </c>
      <c r="AC58" s="75" t="str">
        <f>IF(AND(AB58=0,AB58=0),0,IF(OR(AND(AB58&gt;0,AA58&lt;=0),AND(AB58&lt;0,AA58&gt;=0)),"nm",IF(AND(AB58&lt;0,AA58&lt;0),IF(-(AB58/AA58-1)*100&lt;-100,"(&gt;100)",-(AB58/AA58-1)*100),IF((AB58/AA58-1)*100&gt;100,"&gt;100",(AB58/AA58-1)*100))))</f>
        <v>&gt;100</v>
      </c>
      <c r="AD58" s="75" t="str">
        <f>IF(AND(AB58=0,X58=0),0,IF(OR(AND(AB58&gt;0,X58&lt;=0),AND(AB58&lt;0,X58&gt;=0)),"nm",IF(AND(AB58&lt;0,X58&lt;0),IF(-(AB58/X58-1)*100&lt;-100,"(&gt;100)",-(AB58/X58-1)*100),IF((AB58/X58-1)*100&gt;100,"&gt;100",(AB58/X58-1)*100))))</f>
        <v>&gt;100</v>
      </c>
      <c r="AF58" s="261">
        <v>121</v>
      </c>
      <c r="AG58" s="575">
        <v>321</v>
      </c>
      <c r="AH58" s="75" t="str">
        <f>IF(AND(AG58=0,AF58=0),0,IF(OR(AND(AG58&gt;0,AF58&lt;=0),AND(AG58&lt;0,AF58&gt;=0)),"nm",IF(AND(AG58&lt;0,AF58&lt;0),IF(-(AG58/AF58-1)*100&lt;-100,"(&gt;100)",-(AG58/AF58-1)*100),IF((AG58/AF58-1)*100&gt;100,"&gt;100",(AG58/AF58-1)*100))))</f>
        <v>&gt;100</v>
      </c>
      <c r="AI58" s="121">
        <v>70</v>
      </c>
      <c r="AJ58" s="122">
        <v>265</v>
      </c>
      <c r="AK58" s="121" t="str">
        <f>IF(AND(AJ58=0,AI58=0),0,IF(OR(AND(AJ58&gt;0,AI58&lt;=0),AND(AJ58&lt;0,AI58&gt;=0)),"nm",IF(AND(AJ58&lt;0,AI58&lt;0),IF(-(AJ58/AI58-1)*100&lt;-100,"(&gt;100)",-(AJ58/AI58-1)*100),IF((AJ58/AI58-1)*100&gt;100,"&gt;100",(AJ58/AI58-1)*100))))</f>
        <v>&gt;100</v>
      </c>
    </row>
    <row r="59" spans="2:37" s="18" customFormat="1" ht="15">
      <c r="B59" s="18" t="s">
        <v>116</v>
      </c>
      <c r="D59" s="104">
        <v>2392</v>
      </c>
      <c r="E59" s="17">
        <v>4219</v>
      </c>
      <c r="F59" s="17">
        <v>3213</v>
      </c>
      <c r="G59" s="17">
        <v>2904</v>
      </c>
      <c r="H59" s="17">
        <v>2726</v>
      </c>
      <c r="I59" s="17"/>
      <c r="J59" s="17">
        <v>3233</v>
      </c>
      <c r="K59" s="17">
        <v>4051</v>
      </c>
      <c r="L59" s="17">
        <v>3823</v>
      </c>
      <c r="M59" s="17">
        <v>4219</v>
      </c>
      <c r="N59" s="17">
        <v>4068</v>
      </c>
      <c r="O59" s="17">
        <v>3724</v>
      </c>
      <c r="P59" s="17">
        <v>3505</v>
      </c>
      <c r="Q59" s="17">
        <v>3213</v>
      </c>
      <c r="R59" s="17">
        <v>3098</v>
      </c>
      <c r="S59" s="17">
        <v>2883</v>
      </c>
      <c r="T59" s="17">
        <v>2780</v>
      </c>
      <c r="U59" s="17">
        <v>2904</v>
      </c>
      <c r="V59" s="17">
        <v>2908</v>
      </c>
      <c r="W59" s="17">
        <v>2956</v>
      </c>
      <c r="X59" s="17">
        <v>2835</v>
      </c>
      <c r="Y59" s="17">
        <v>2726</v>
      </c>
      <c r="Z59" s="17">
        <f>Z55+Z56-Z57-Z58</f>
        <v>2767</v>
      </c>
      <c r="AA59" s="17">
        <f>AA55+AA56-AA57-AA58</f>
        <v>2966</v>
      </c>
      <c r="AB59" s="572">
        <f>AB55+AB56-AB57-AB58</f>
        <v>3054</v>
      </c>
      <c r="AC59" s="17">
        <f>IF(AND(AB59=0,AB59=0),0,IF(OR(AND(AB59&gt;0,AA59&lt;=0),AND(AB59&lt;0,AA59&gt;=0)),"nm",IF(AND(AB59&lt;0,AA59&lt;0),IF(-(AB59/AA59-1)*100&lt;-100,"(&gt;100)",-(AB59/AA59-1)*100),IF((AB59/AA59-1)*100&gt;100,"&gt;100",(AB59/AA59-1)*100))))</f>
        <v>2.9669588671611624</v>
      </c>
      <c r="AD59" s="17">
        <f>IF(AND(AB59=0,X59=0),0,IF(OR(AND(AB59&gt;0,X59&lt;=0),AND(AB59&lt;0,X59&gt;=0)),"nm",IF(AND(AB59&lt;0,X59&lt;0),IF(-(AB59/X59-1)*100&lt;-100,"(&gt;100)",-(AB59/X59-1)*100),IF((AB59/X59-1)*100&gt;100,"&gt;100",(AB59/X59-1)*100))))</f>
        <v>7.724867724867734</v>
      </c>
      <c r="AE59" s="15"/>
      <c r="AF59" s="312">
        <v>2835</v>
      </c>
      <c r="AG59" s="572">
        <f>AG55+AG56-AG57-AG58</f>
        <v>3054</v>
      </c>
      <c r="AH59" s="17">
        <f>IF(AND(AG59=0,AF59=0),0,IF(OR(AND(AG59&gt;0,AF59&lt;=0),AND(AG59&lt;0,AF59&gt;=0)),"nm",IF(AND(AG59&lt;0,AF59&lt;0),IF(-(AG59/AF59-1)*100&lt;-100,"(&gt;100)",-(AG59/AF59-1)*100),IF((AG59/AF59-1)*100&gt;100,"&gt;100",(AG59/AF59-1)*100))))</f>
        <v>7.724867724867734</v>
      </c>
      <c r="AI59" s="17">
        <f>AI55+AI56-AI57-AI58</f>
        <v>2956</v>
      </c>
      <c r="AJ59" s="125">
        <f>AJ55+AJ56-AJ57-AJ58</f>
        <v>2966</v>
      </c>
      <c r="AK59" s="17">
        <f>IF(AND(AJ59=0,AI59=0),0,IF(OR(AND(AJ59&gt;0,AI59&lt;=0),AND(AJ59&lt;0,AI59&gt;=0)),"nm",IF(AND(AJ59&lt;0,AI59&lt;0),IF(-(AJ59/AI59-1)*100&lt;-100,"(&gt;100)",-(AJ59/AI59-1)*100),IF((AJ59/AI59-1)*100&gt;100,"&gt;100",(AJ59/AI59-1)*100))))</f>
        <v>0.3382949932341006</v>
      </c>
    </row>
    <row r="60" spans="3:37" s="18" customFormat="1" ht="15">
      <c r="C60" s="7"/>
      <c r="D60" s="8"/>
      <c r="E60" s="17"/>
      <c r="F60" s="17"/>
      <c r="G60" s="17"/>
      <c r="H60" s="17"/>
      <c r="I60" s="17"/>
      <c r="J60" s="17"/>
      <c r="K60" s="17"/>
      <c r="L60" s="17"/>
      <c r="M60" s="17"/>
      <c r="N60" s="17"/>
      <c r="O60" s="17"/>
      <c r="P60" s="17"/>
      <c r="Q60" s="17"/>
      <c r="R60" s="17"/>
      <c r="S60" s="17"/>
      <c r="T60" s="17"/>
      <c r="U60" s="17"/>
      <c r="V60" s="17"/>
      <c r="W60" s="17"/>
      <c r="X60" s="17"/>
      <c r="Y60" s="17"/>
      <c r="Z60" s="354"/>
      <c r="AA60" s="354"/>
      <c r="AB60" s="498"/>
      <c r="AC60" s="17"/>
      <c r="AD60" s="17"/>
      <c r="AE60" s="15"/>
      <c r="AF60" s="170"/>
      <c r="AG60" s="498"/>
      <c r="AH60" s="17"/>
      <c r="AI60" s="169"/>
      <c r="AJ60" s="125"/>
      <c r="AK60" s="17"/>
    </row>
    <row r="61" spans="8:33" ht="14.25">
      <c r="H61" s="121"/>
      <c r="Z61" s="355"/>
      <c r="AA61" s="355"/>
      <c r="AB61" s="489"/>
      <c r="AF61" s="370"/>
      <c r="AG61" s="556"/>
    </row>
    <row r="62" spans="8:36" ht="14.25">
      <c r="H62" s="171"/>
      <c r="Z62" s="355"/>
      <c r="AA62" s="355"/>
      <c r="AB62" s="489"/>
      <c r="AG62" s="489"/>
      <c r="AJ62" s="461"/>
    </row>
    <row r="63" spans="26:36" ht="14.25">
      <c r="Z63" s="355"/>
      <c r="AA63" s="355"/>
      <c r="AB63" s="489"/>
      <c r="AG63" s="489"/>
      <c r="AJ63" s="461"/>
    </row>
    <row r="64" spans="26:36" ht="14.25">
      <c r="Z64" s="355"/>
      <c r="AA64" s="355"/>
      <c r="AB64" s="489"/>
      <c r="AG64" s="352"/>
      <c r="AJ64" s="461"/>
    </row>
    <row r="65" spans="26:36" ht="14.25">
      <c r="Z65" s="355"/>
      <c r="AA65" s="355"/>
      <c r="AB65" s="352"/>
      <c r="AG65" s="352"/>
      <c r="AJ65" s="461"/>
    </row>
    <row r="66" spans="26:28" ht="14.25">
      <c r="Z66" s="355"/>
      <c r="AA66" s="355"/>
      <c r="AB66" s="352"/>
    </row>
    <row r="67" spans="26:28" ht="14.25">
      <c r="Z67" s="355"/>
      <c r="AA67" s="355"/>
      <c r="AB67" s="352"/>
    </row>
    <row r="68" spans="26:28" ht="14.25">
      <c r="Z68" s="355"/>
      <c r="AA68" s="355"/>
      <c r="AB68" s="352"/>
    </row>
    <row r="69" spans="26:28" ht="14.25">
      <c r="Z69" s="355"/>
      <c r="AA69" s="355"/>
      <c r="AB69" s="352"/>
    </row>
    <row r="70" spans="2:28" ht="14.25">
      <c r="B70" s="429" t="s">
        <v>407</v>
      </c>
      <c r="Z70" s="355"/>
      <c r="AA70" s="355"/>
      <c r="AB70" s="352"/>
    </row>
    <row r="71" spans="2:28" ht="14.25">
      <c r="B71" s="429" t="s">
        <v>410</v>
      </c>
      <c r="Z71" s="355"/>
      <c r="AA71" s="355"/>
      <c r="AB71" s="352"/>
    </row>
    <row r="72" spans="26:28" ht="14.25">
      <c r="Z72" s="355"/>
      <c r="AA72" s="355"/>
      <c r="AB72" s="352"/>
    </row>
    <row r="73" spans="26:28" ht="14.25">
      <c r="Z73" s="355"/>
      <c r="AA73" s="355"/>
      <c r="AB73" s="352"/>
    </row>
    <row r="74" spans="26:28" ht="14.25">
      <c r="Z74" s="355"/>
      <c r="AA74" s="355"/>
      <c r="AB74" s="352"/>
    </row>
    <row r="75" spans="26:28" ht="14.25">
      <c r="Z75" s="261"/>
      <c r="AA75" s="261"/>
      <c r="AB75" s="300"/>
    </row>
    <row r="76" spans="26:28" ht="14.25">
      <c r="Z76" s="261"/>
      <c r="AA76" s="261"/>
      <c r="AB76" s="300"/>
    </row>
    <row r="77" spans="26:28" ht="14.25">
      <c r="Z77" s="261"/>
      <c r="AA77" s="261"/>
      <c r="AB77" s="300"/>
    </row>
    <row r="78" spans="26:28" ht="14.25">
      <c r="Z78" s="261"/>
      <c r="AA78" s="261"/>
      <c r="AB78" s="300"/>
    </row>
    <row r="79" spans="26:28" ht="14.25">
      <c r="Z79" s="261"/>
      <c r="AA79" s="261"/>
      <c r="AB79" s="300"/>
    </row>
  </sheetData>
  <sheetProtection/>
  <mergeCells count="2">
    <mergeCell ref="A2:C2"/>
    <mergeCell ref="B51:C51"/>
  </mergeCells>
  <hyperlinks>
    <hyperlink ref="A2" location="Index!A1" display="Back to Index"/>
  </hyperlinks>
  <printOptions gridLines="1"/>
  <pageMargins left="0.75" right="0" top="0.6" bottom="0.32" header="0.25" footer="0"/>
  <pageSetup horizontalDpi="600" verticalDpi="600" orientation="landscape" paperSize="9" scale="60" r:id="rId1"/>
  <headerFooter alignWithMargins="0">
    <oddFooter>&amp;L&amp;8&amp;D\&amp;T&amp;R&amp;F&amp;A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AM98"/>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O24" sqref="AO24"/>
    </sheetView>
  </sheetViews>
  <sheetFormatPr defaultColWidth="9.140625" defaultRowHeight="12.75" outlineLevelCol="1"/>
  <cols>
    <col min="1" max="1" width="2.28125" style="22" customWidth="1"/>
    <col min="2" max="2" width="2.7109375" style="22" customWidth="1"/>
    <col min="3" max="3" width="36.8515625" style="10" customWidth="1"/>
    <col min="4" max="4" width="10.421875" style="76" hidden="1" customWidth="1" outlineLevel="1"/>
    <col min="5" max="8" width="10.421875" style="75" hidden="1" customWidth="1" outlineLevel="1"/>
    <col min="9" max="9" width="2.7109375" style="75" hidden="1" customWidth="1" outlineLevel="1"/>
    <col min="10" max="17" width="9.8515625" style="75" hidden="1" customWidth="1" outlineLevel="1"/>
    <col min="18" max="19" width="9.8515625" style="75" hidden="1" customWidth="1" outlineLevel="1" collapsed="1"/>
    <col min="20" max="20" width="10.28125" style="75" hidden="1" customWidth="1" outlineLevel="1"/>
    <col min="21" max="21" width="9.8515625" style="75" hidden="1" customWidth="1" outlineLevel="1"/>
    <col min="22" max="22" width="9.8515625" style="75" customWidth="1" collapsed="1"/>
    <col min="23" max="27" width="9.8515625" style="75" customWidth="1"/>
    <col min="28" max="28" width="9.8515625" style="119" customWidth="1"/>
    <col min="29" max="30" width="9.7109375" style="75" customWidth="1"/>
    <col min="31" max="31" width="2.7109375" style="21" customWidth="1"/>
    <col min="32" max="32" width="9.7109375" style="75" customWidth="1"/>
    <col min="33" max="33" width="9.8515625" style="119" customWidth="1"/>
    <col min="34" max="34" width="9.8515625" style="75" customWidth="1"/>
    <col min="35" max="35" width="9.7109375" style="121" hidden="1" customWidth="1"/>
    <col min="36" max="36" width="9.8515625" style="122" hidden="1" customWidth="1"/>
    <col min="37" max="37" width="9.8515625" style="121" hidden="1" customWidth="1"/>
    <col min="38" max="16384" width="9.140625" style="22" customWidth="1"/>
  </cols>
  <sheetData>
    <row r="1" spans="1:37" s="42" customFormat="1" ht="20.25">
      <c r="A1" s="41" t="s">
        <v>208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+'11.NPA'!AC2</f>
        <v>3Q13
vs 
2Q13</v>
      </c>
      <c r="AD2" s="285" t="str">
        <f>+'11.NPA'!AD2</f>
        <v>3Q13
vs 
3Q12</v>
      </c>
      <c r="AF2" s="74" t="s">
        <v>442</v>
      </c>
      <c r="AG2" s="74" t="s">
        <v>443</v>
      </c>
      <c r="AH2" s="285" t="s">
        <v>444</v>
      </c>
      <c r="AI2" s="285" t="str">
        <f>+'11.NPA'!AI2</f>
        <v>1H12</v>
      </c>
      <c r="AJ2" s="285" t="str">
        <f>+'11.NPA'!AJ2</f>
        <v>1H13</v>
      </c>
      <c r="AK2" s="285" t="str">
        <f>+'11.NPA'!AK2</f>
        <v>1H13
vs 
1H12</v>
      </c>
    </row>
    <row r="3" spans="4:37" s="18" customFormat="1" ht="9.75" customHeight="1">
      <c r="D3" s="17"/>
      <c r="E3" s="17"/>
      <c r="F3" s="17"/>
      <c r="G3" s="17"/>
      <c r="H3" s="17"/>
      <c r="I3" s="17"/>
      <c r="J3" s="17"/>
      <c r="K3" s="17"/>
      <c r="L3" s="17"/>
      <c r="M3" s="17"/>
      <c r="N3" s="17"/>
      <c r="O3" s="17"/>
      <c r="P3" s="17"/>
      <c r="Q3" s="17"/>
      <c r="R3" s="17"/>
      <c r="S3" s="17"/>
      <c r="T3" s="17"/>
      <c r="U3" s="17"/>
      <c r="V3" s="17"/>
      <c r="W3" s="17"/>
      <c r="X3" s="17"/>
      <c r="Y3" s="17"/>
      <c r="Z3" s="170"/>
      <c r="AA3" s="170"/>
      <c r="AB3" s="141"/>
      <c r="AC3" s="17"/>
      <c r="AD3" s="17"/>
      <c r="AE3" s="15"/>
      <c r="AF3" s="17"/>
      <c r="AG3" s="498"/>
      <c r="AH3" s="17"/>
      <c r="AI3" s="17"/>
      <c r="AJ3" s="144"/>
      <c r="AK3" s="17"/>
    </row>
    <row r="4" spans="1:37" s="18" customFormat="1" ht="15">
      <c r="A4" s="46" t="s">
        <v>223</v>
      </c>
      <c r="D4" s="17"/>
      <c r="E4" s="17"/>
      <c r="F4" s="17"/>
      <c r="G4" s="17"/>
      <c r="H4" s="17"/>
      <c r="I4" s="17"/>
      <c r="J4" s="17"/>
      <c r="K4" s="17"/>
      <c r="L4" s="17"/>
      <c r="M4" s="17"/>
      <c r="N4" s="17"/>
      <c r="O4" s="17"/>
      <c r="P4" s="17"/>
      <c r="Q4" s="17"/>
      <c r="R4" s="17"/>
      <c r="S4" s="17"/>
      <c r="T4" s="17"/>
      <c r="U4" s="17"/>
      <c r="V4" s="17"/>
      <c r="W4" s="17"/>
      <c r="X4" s="17"/>
      <c r="Y4" s="17"/>
      <c r="Z4" s="354"/>
      <c r="AA4" s="354"/>
      <c r="AB4" s="498"/>
      <c r="AC4" s="17"/>
      <c r="AD4" s="17"/>
      <c r="AE4" s="15"/>
      <c r="AF4" s="17"/>
      <c r="AG4" s="498"/>
      <c r="AH4" s="17"/>
      <c r="AI4" s="17"/>
      <c r="AJ4" s="462"/>
      <c r="AK4" s="17"/>
    </row>
    <row r="5" spans="1:37" s="18" customFormat="1" ht="15">
      <c r="A5" s="18" t="s">
        <v>209</v>
      </c>
      <c r="C5" s="32"/>
      <c r="D5" s="17">
        <f>D6+D10</f>
        <v>2732</v>
      </c>
      <c r="E5" s="17">
        <f>E6+E10</f>
        <v>3480</v>
      </c>
      <c r="F5" s="17">
        <v>3197</v>
      </c>
      <c r="G5" s="17">
        <v>3660</v>
      </c>
      <c r="H5" s="17">
        <f aca="true" t="shared" si="0" ref="H5:H10">AG5</f>
        <v>4115</v>
      </c>
      <c r="I5" s="17"/>
      <c r="J5" s="17">
        <v>3147</v>
      </c>
      <c r="K5" s="17">
        <f>K6+K10</f>
        <v>3263</v>
      </c>
      <c r="L5" s="17">
        <v>3422</v>
      </c>
      <c r="M5" s="17">
        <v>3480</v>
      </c>
      <c r="N5" s="17">
        <v>3722</v>
      </c>
      <c r="O5" s="17">
        <v>3747</v>
      </c>
      <c r="P5" s="17">
        <v>3387</v>
      </c>
      <c r="Q5" s="17">
        <v>3197</v>
      </c>
      <c r="R5" s="17">
        <v>3176</v>
      </c>
      <c r="S5" s="17">
        <v>3266</v>
      </c>
      <c r="T5" s="17">
        <v>3457</v>
      </c>
      <c r="U5" s="17">
        <v>3660</v>
      </c>
      <c r="V5" s="17">
        <v>3717</v>
      </c>
      <c r="W5" s="17">
        <v>3820</v>
      </c>
      <c r="X5" s="17">
        <v>3795</v>
      </c>
      <c r="Y5" s="17">
        <v>3866</v>
      </c>
      <c r="Z5" s="17">
        <f>Z6+Z10</f>
        <v>3927</v>
      </c>
      <c r="AA5" s="17">
        <f>AA6+AA10</f>
        <v>4178</v>
      </c>
      <c r="AB5" s="572">
        <f>AB6+AB10</f>
        <v>4115</v>
      </c>
      <c r="AC5" s="312">
        <f aca="true" t="shared" si="1" ref="AC5:AC10">IF(AND(AB5=0,AB5=0),0,IF(OR(AND(AB5&gt;0,AA5&lt;=0),AND(AB5&lt;0,AA5&gt;=0)),"nm",IF(AND(AB5&lt;0,AA5&lt;0),IF(-(AB5/AA5-1)*100&lt;-100,"(&gt;100)",-(AB5/AA5-1)*100),IF((AB5/AA5-1)*100&gt;100,"&gt;100",(AB5/AA5-1)*100))))</f>
        <v>-1.5078985160363767</v>
      </c>
      <c r="AD5" s="312">
        <f aca="true" t="shared" si="2" ref="AD5:AD10">IF(AND(AB5=0,X5=0),0,IF(OR(AND(AB5&gt;0,X5&lt;=0),AND(AB5&lt;0,X5&gt;=0)),"nm",IF(AND(AB5&lt;0,X5&lt;0),IF(-(AB5/X5-1)*100&lt;-100,"(&gt;100)",-(AB5/X5-1)*100),IF((AB5/X5-1)*100&gt;100,"&gt;100",(AB5/X5-1)*100))))</f>
        <v>8.432147562582347</v>
      </c>
      <c r="AE5" s="313"/>
      <c r="AF5" s="312">
        <v>3795</v>
      </c>
      <c r="AG5" s="572">
        <f>AG6+AG10</f>
        <v>4115</v>
      </c>
      <c r="AH5" s="17">
        <f aca="true" t="shared" si="3" ref="AH5:AH10">IF(AND(AG5=0,AF5=0),0,IF(OR(AND(AG5&gt;0,AF5&lt;=0),AND(AG5&lt;0,AF5&gt;=0)),"nm",IF(AND(AG5&lt;0,AF5&lt;0),IF(-(AG5/AF5-1)*100&lt;-100,"(&gt;100)",-(AG5/AF5-1)*100),IF((AG5/AF5-1)*100&gt;100,"&gt;100",(AG5/AF5-1)*100))))</f>
        <v>8.432147562582347</v>
      </c>
      <c r="AI5" s="312">
        <f>+W5</f>
        <v>3820</v>
      </c>
      <c r="AJ5" s="125">
        <f>AJ6+AJ10</f>
        <v>4178</v>
      </c>
      <c r="AK5" s="17">
        <f aca="true" t="shared" si="4" ref="AK5:AK10">IF(AND(AJ5=0,AI5=0),0,IF(OR(AND(AJ5&gt;0,AI5&lt;=0),AND(AJ5&lt;0,AI5&gt;=0)),"nm",IF(AND(AJ5&lt;0,AI5&lt;0),IF(-(AJ5/AI5-1)*100&lt;-100,"(&gt;100)",-(AJ5/AI5-1)*100),IF((AJ5/AI5-1)*100&gt;100,"&gt;100",(AJ5/AI5-1)*100))))</f>
        <v>9.371727748691105</v>
      </c>
    </row>
    <row r="6" spans="2:37" s="18" customFormat="1" ht="15">
      <c r="B6" s="18" t="s">
        <v>95</v>
      </c>
      <c r="D6" s="17">
        <f>D13</f>
        <v>1208</v>
      </c>
      <c r="E6" s="17">
        <f>E13</f>
        <v>1808</v>
      </c>
      <c r="F6" s="17">
        <v>1345</v>
      </c>
      <c r="G6" s="17">
        <v>1321</v>
      </c>
      <c r="H6" s="17">
        <f t="shared" si="0"/>
        <v>1365</v>
      </c>
      <c r="I6" s="17"/>
      <c r="J6" s="17">
        <v>1420</v>
      </c>
      <c r="K6" s="17">
        <f>K13</f>
        <v>1364</v>
      </c>
      <c r="L6" s="17">
        <v>1521</v>
      </c>
      <c r="M6" s="17">
        <v>1808</v>
      </c>
      <c r="N6" s="17">
        <v>2034</v>
      </c>
      <c r="O6" s="17">
        <v>1938</v>
      </c>
      <c r="P6" s="17">
        <v>1567</v>
      </c>
      <c r="Q6" s="17">
        <v>1345</v>
      </c>
      <c r="R6" s="17">
        <v>1273</v>
      </c>
      <c r="S6" s="17">
        <v>1275</v>
      </c>
      <c r="T6" s="17">
        <v>1249</v>
      </c>
      <c r="U6" s="17">
        <v>1321</v>
      </c>
      <c r="V6" s="17">
        <v>1317</v>
      </c>
      <c r="W6" s="17">
        <v>1351</v>
      </c>
      <c r="X6" s="17">
        <v>1333</v>
      </c>
      <c r="Y6" s="17">
        <v>1355</v>
      </c>
      <c r="Z6" s="17">
        <f>SUM(Z7:Z9)</f>
        <v>1302</v>
      </c>
      <c r="AA6" s="17">
        <f>SUM(AA7:AA9)</f>
        <v>1428</v>
      </c>
      <c r="AB6" s="572">
        <f>SUM(AB7:AB9)</f>
        <v>1365</v>
      </c>
      <c r="AC6" s="312">
        <f t="shared" si="1"/>
        <v>-4.411764705882348</v>
      </c>
      <c r="AD6" s="312">
        <f t="shared" si="2"/>
        <v>2.400600150037513</v>
      </c>
      <c r="AE6" s="313"/>
      <c r="AF6" s="312">
        <v>1333</v>
      </c>
      <c r="AG6" s="572">
        <f>SUM(AG7:AG9)</f>
        <v>1365</v>
      </c>
      <c r="AH6" s="17">
        <f>IF(AND(AG6=0,AF6=0),0,IF(OR(AND(AG6&gt;0,AF6&lt;=0),AND(AG6&lt;0,AF6&gt;=0)),"nm",IF(AND(AG6&lt;0,AF6&lt;0),IF(-(AG6/AF6-1)*100&lt;-100,"(&gt;100)",-(AG6/AF6-1)*100),IF((AG6/AF6-1)*100&gt;100,"&gt;100",(AG6/AF6-1)*100))))</f>
        <v>2.400600150037513</v>
      </c>
      <c r="AI6" s="312">
        <f>+W6</f>
        <v>1351</v>
      </c>
      <c r="AJ6" s="125">
        <f>SUM(AJ7:AJ9)</f>
        <v>1428</v>
      </c>
      <c r="AK6" s="17">
        <f>IF(AND(AJ6=0,AI6=0),0,IF(OR(AND(AJ6&gt;0,AI6&lt;=0),AND(AJ6&lt;0,AI6&gt;=0)),"nm",IF(AND(AJ6&lt;0,AI6&lt;0),IF(-(AJ6/AI6-1)*100&lt;-100,"(&gt;100)",-(AJ6/AI6-1)*100),IF((AJ6/AI6-1)*100&gt;100,"&gt;100",(AJ6/AI6-1)*100))))</f>
        <v>5.699481865284972</v>
      </c>
    </row>
    <row r="7" spans="3:39" ht="15">
      <c r="C7" s="22" t="s">
        <v>149</v>
      </c>
      <c r="D7" s="75">
        <v>213</v>
      </c>
      <c r="E7" s="75">
        <v>195</v>
      </c>
      <c r="F7" s="75">
        <v>374</v>
      </c>
      <c r="G7" s="75">
        <v>241</v>
      </c>
      <c r="H7" s="121">
        <f t="shared" si="0"/>
        <v>305</v>
      </c>
      <c r="J7" s="75">
        <v>219</v>
      </c>
      <c r="K7" s="75">
        <v>268</v>
      </c>
      <c r="L7" s="75">
        <v>356</v>
      </c>
      <c r="M7" s="75">
        <v>195</v>
      </c>
      <c r="N7" s="75">
        <v>269</v>
      </c>
      <c r="O7" s="75">
        <v>249</v>
      </c>
      <c r="P7" s="75">
        <v>342</v>
      </c>
      <c r="Q7" s="75">
        <v>374</v>
      </c>
      <c r="R7" s="75">
        <v>409</v>
      </c>
      <c r="S7" s="75">
        <v>431</v>
      </c>
      <c r="T7" s="75">
        <v>281</v>
      </c>
      <c r="U7" s="75">
        <v>241</v>
      </c>
      <c r="V7" s="75">
        <v>243</v>
      </c>
      <c r="W7" s="75">
        <v>258</v>
      </c>
      <c r="X7" s="75">
        <v>284</v>
      </c>
      <c r="Y7" s="75">
        <v>268</v>
      </c>
      <c r="Z7" s="121">
        <v>267</v>
      </c>
      <c r="AA7" s="121">
        <v>260</v>
      </c>
      <c r="AB7" s="575">
        <v>305</v>
      </c>
      <c r="AC7" s="261">
        <f t="shared" si="1"/>
        <v>17.307692307692314</v>
      </c>
      <c r="AD7" s="261">
        <f t="shared" si="2"/>
        <v>7.3943661971831</v>
      </c>
      <c r="AE7" s="314"/>
      <c r="AF7" s="261">
        <v>284</v>
      </c>
      <c r="AG7" s="575">
        <v>305</v>
      </c>
      <c r="AH7" s="75">
        <f>IF(AND(AG7=0,AF7=0),0,IF(OR(AND(AG7&gt;0,AF7&lt;=0),AND(AG7&lt;0,AF7&gt;=0)),"nm",IF(AND(AG7&lt;0,AF7&lt;0),IF(-(AG7/AF7-1)*100&lt;-100,"(&gt;100)",-(AG7/AF7-1)*100),IF((AG7/AF7-1)*100&gt;100,"&gt;100",(AG7/AF7-1)*100))))</f>
        <v>7.3943661971831</v>
      </c>
      <c r="AI7" s="261">
        <f>+W7</f>
        <v>258</v>
      </c>
      <c r="AJ7" s="122">
        <f>AA7</f>
        <v>260</v>
      </c>
      <c r="AK7" s="121">
        <f>IF(AND(AJ7=0,AI7=0),0,IF(OR(AND(AJ7&gt;0,AI7&lt;=0),AND(AJ7&lt;0,AI7&gt;=0)),"nm",IF(AND(AJ7&lt;0,AI7&lt;0),IF(-(AJ7/AI7-1)*100&lt;-100,"(&gt;100)",-(AJ7/AI7-1)*100),IF((AJ7/AI7-1)*100&gt;100,"&gt;100",(AJ7/AI7-1)*100))))</f>
        <v>0.7751937984496138</v>
      </c>
      <c r="AL7" s="18"/>
      <c r="AM7" s="18"/>
    </row>
    <row r="8" spans="3:39" ht="15">
      <c r="C8" s="22" t="s">
        <v>150</v>
      </c>
      <c r="D8" s="75">
        <v>730</v>
      </c>
      <c r="E8" s="75">
        <v>977</v>
      </c>
      <c r="F8" s="75">
        <v>580</v>
      </c>
      <c r="G8" s="75">
        <v>687</v>
      </c>
      <c r="H8" s="121">
        <f t="shared" si="0"/>
        <v>715</v>
      </c>
      <c r="J8" s="75">
        <v>849</v>
      </c>
      <c r="K8" s="75">
        <v>652</v>
      </c>
      <c r="L8" s="75">
        <v>648</v>
      </c>
      <c r="M8" s="75">
        <v>977</v>
      </c>
      <c r="N8" s="75">
        <v>1086</v>
      </c>
      <c r="O8" s="75">
        <v>1153</v>
      </c>
      <c r="P8" s="75">
        <v>723</v>
      </c>
      <c r="Q8" s="75">
        <v>580</v>
      </c>
      <c r="R8" s="75">
        <v>479</v>
      </c>
      <c r="S8" s="75">
        <v>464</v>
      </c>
      <c r="T8" s="75">
        <v>594</v>
      </c>
      <c r="U8" s="75">
        <v>687</v>
      </c>
      <c r="V8" s="75">
        <v>695</v>
      </c>
      <c r="W8" s="75">
        <v>711</v>
      </c>
      <c r="X8" s="75">
        <v>680</v>
      </c>
      <c r="Y8" s="75">
        <v>518</v>
      </c>
      <c r="Z8" s="121">
        <v>466</v>
      </c>
      <c r="AA8" s="121">
        <v>805</v>
      </c>
      <c r="AB8" s="575">
        <v>715</v>
      </c>
      <c r="AC8" s="261">
        <f t="shared" si="1"/>
        <v>-11.180124223602483</v>
      </c>
      <c r="AD8" s="261">
        <f t="shared" si="2"/>
        <v>5.147058823529416</v>
      </c>
      <c r="AE8" s="314"/>
      <c r="AF8" s="261">
        <v>680</v>
      </c>
      <c r="AG8" s="575">
        <v>715</v>
      </c>
      <c r="AH8" s="75">
        <f t="shared" si="3"/>
        <v>5.147058823529416</v>
      </c>
      <c r="AI8" s="261">
        <f>+W8</f>
        <v>711</v>
      </c>
      <c r="AJ8" s="122">
        <f>AA8</f>
        <v>805</v>
      </c>
      <c r="AK8" s="121">
        <f t="shared" si="4"/>
        <v>13.220815752461323</v>
      </c>
      <c r="AL8" s="18"/>
      <c r="AM8" s="18"/>
    </row>
    <row r="9" spans="3:39" ht="15">
      <c r="C9" s="22" t="s">
        <v>151</v>
      </c>
      <c r="D9" s="75">
        <v>265</v>
      </c>
      <c r="E9" s="75">
        <v>636</v>
      </c>
      <c r="F9" s="75">
        <v>391</v>
      </c>
      <c r="G9" s="75">
        <v>393</v>
      </c>
      <c r="H9" s="121">
        <f t="shared" si="0"/>
        <v>345</v>
      </c>
      <c r="J9" s="75">
        <v>352</v>
      </c>
      <c r="K9" s="75">
        <v>444</v>
      </c>
      <c r="L9" s="75">
        <v>517</v>
      </c>
      <c r="M9" s="75">
        <v>636</v>
      </c>
      <c r="N9" s="75">
        <v>679</v>
      </c>
      <c r="O9" s="75">
        <v>536</v>
      </c>
      <c r="P9" s="75">
        <v>502</v>
      </c>
      <c r="Q9" s="75">
        <v>391</v>
      </c>
      <c r="R9" s="75">
        <v>385</v>
      </c>
      <c r="S9" s="75">
        <v>380</v>
      </c>
      <c r="T9" s="75">
        <v>374</v>
      </c>
      <c r="U9" s="75">
        <v>393</v>
      </c>
      <c r="V9" s="75">
        <v>379</v>
      </c>
      <c r="W9" s="75">
        <v>382</v>
      </c>
      <c r="X9" s="75">
        <v>369</v>
      </c>
      <c r="Y9" s="75">
        <v>569</v>
      </c>
      <c r="Z9" s="121">
        <v>569</v>
      </c>
      <c r="AA9" s="121">
        <v>363</v>
      </c>
      <c r="AB9" s="575">
        <v>345</v>
      </c>
      <c r="AC9" s="261">
        <f t="shared" si="1"/>
        <v>-4.958677685950407</v>
      </c>
      <c r="AD9" s="261">
        <f t="shared" si="2"/>
        <v>-6.504065040650408</v>
      </c>
      <c r="AE9" s="314"/>
      <c r="AF9" s="261">
        <v>369</v>
      </c>
      <c r="AG9" s="575">
        <v>345</v>
      </c>
      <c r="AH9" s="75">
        <f t="shared" si="3"/>
        <v>-6.504065040650408</v>
      </c>
      <c r="AI9" s="261">
        <f>+W9</f>
        <v>382</v>
      </c>
      <c r="AJ9" s="122">
        <f>AA9</f>
        <v>363</v>
      </c>
      <c r="AK9" s="121">
        <f t="shared" si="4"/>
        <v>-4.973821989528792</v>
      </c>
      <c r="AL9" s="18"/>
      <c r="AM9" s="18"/>
    </row>
    <row r="10" spans="2:37" s="18" customFormat="1" ht="15">
      <c r="B10" s="18" t="s">
        <v>50</v>
      </c>
      <c r="D10" s="17">
        <v>1524</v>
      </c>
      <c r="E10" s="17">
        <f>E39</f>
        <v>1672</v>
      </c>
      <c r="F10" s="17">
        <v>1852</v>
      </c>
      <c r="G10" s="17">
        <v>2339</v>
      </c>
      <c r="H10" s="17">
        <f t="shared" si="0"/>
        <v>2750</v>
      </c>
      <c r="I10" s="17"/>
      <c r="J10" s="17">
        <v>1727</v>
      </c>
      <c r="K10" s="17">
        <f>K39</f>
        <v>1899</v>
      </c>
      <c r="L10" s="17">
        <v>1901</v>
      </c>
      <c r="M10" s="17">
        <v>1672</v>
      </c>
      <c r="N10" s="17">
        <v>1688</v>
      </c>
      <c r="O10" s="17">
        <v>1809</v>
      </c>
      <c r="P10" s="17">
        <v>1820</v>
      </c>
      <c r="Q10" s="17">
        <v>1852</v>
      </c>
      <c r="R10" s="17">
        <v>1903</v>
      </c>
      <c r="S10" s="17">
        <v>1991</v>
      </c>
      <c r="T10" s="17">
        <v>2208</v>
      </c>
      <c r="U10" s="17">
        <v>2339</v>
      </c>
      <c r="V10" s="17">
        <v>2400</v>
      </c>
      <c r="W10" s="17">
        <v>2469</v>
      </c>
      <c r="X10" s="17">
        <v>2462</v>
      </c>
      <c r="Y10" s="17">
        <v>2511</v>
      </c>
      <c r="Z10" s="17">
        <v>2625</v>
      </c>
      <c r="AA10" s="17">
        <v>2750</v>
      </c>
      <c r="AB10" s="572">
        <v>2750</v>
      </c>
      <c r="AC10" s="312">
        <f t="shared" si="1"/>
        <v>0</v>
      </c>
      <c r="AD10" s="312">
        <f t="shared" si="2"/>
        <v>11.69780666125102</v>
      </c>
      <c r="AE10" s="313"/>
      <c r="AF10" s="312">
        <v>2462</v>
      </c>
      <c r="AG10" s="572">
        <v>2750</v>
      </c>
      <c r="AH10" s="17">
        <f t="shared" si="3"/>
        <v>11.69780666125102</v>
      </c>
      <c r="AI10" s="312">
        <f>+W10</f>
        <v>2469</v>
      </c>
      <c r="AJ10" s="125">
        <f>AA10</f>
        <v>2750</v>
      </c>
      <c r="AK10" s="17">
        <f t="shared" si="4"/>
        <v>11.381125961927907</v>
      </c>
    </row>
    <row r="11" spans="3:37" s="18" customFormat="1" ht="15">
      <c r="C11" s="32"/>
      <c r="D11" s="17"/>
      <c r="E11" s="17"/>
      <c r="F11" s="17"/>
      <c r="G11" s="17"/>
      <c r="H11" s="17"/>
      <c r="I11" s="17"/>
      <c r="J11" s="17"/>
      <c r="K11" s="17"/>
      <c r="L11" s="17"/>
      <c r="M11" s="17"/>
      <c r="N11" s="17"/>
      <c r="O11" s="17"/>
      <c r="P11" s="17"/>
      <c r="Q11" s="17"/>
      <c r="R11" s="17"/>
      <c r="S11" s="17"/>
      <c r="T11" s="17"/>
      <c r="U11" s="17"/>
      <c r="V11" s="17"/>
      <c r="W11" s="17"/>
      <c r="X11" s="17"/>
      <c r="Y11" s="17"/>
      <c r="Z11" s="437"/>
      <c r="AA11" s="17"/>
      <c r="AB11" s="572"/>
      <c r="AC11" s="312"/>
      <c r="AD11" s="312"/>
      <c r="AE11" s="313"/>
      <c r="AF11" s="312"/>
      <c r="AG11" s="572"/>
      <c r="AH11" s="17"/>
      <c r="AI11" s="312"/>
      <c r="AJ11" s="125"/>
      <c r="AK11" s="17"/>
    </row>
    <row r="12" spans="1:37" s="18" customFormat="1" ht="15">
      <c r="A12" s="46" t="s">
        <v>210</v>
      </c>
      <c r="C12" s="32"/>
      <c r="D12" s="17"/>
      <c r="E12" s="17"/>
      <c r="F12" s="17"/>
      <c r="G12" s="17"/>
      <c r="H12" s="17"/>
      <c r="I12" s="17"/>
      <c r="J12" s="17"/>
      <c r="K12" s="17"/>
      <c r="L12" s="17"/>
      <c r="M12" s="17"/>
      <c r="N12" s="17"/>
      <c r="O12" s="17"/>
      <c r="P12" s="17"/>
      <c r="Q12" s="17"/>
      <c r="R12" s="17"/>
      <c r="S12" s="17"/>
      <c r="T12" s="17"/>
      <c r="U12" s="17"/>
      <c r="V12" s="17"/>
      <c r="W12" s="17"/>
      <c r="X12" s="17"/>
      <c r="Y12" s="17"/>
      <c r="Z12" s="437"/>
      <c r="AA12" s="17"/>
      <c r="AB12" s="572"/>
      <c r="AC12" s="312"/>
      <c r="AD12" s="312"/>
      <c r="AE12" s="313"/>
      <c r="AF12" s="312"/>
      <c r="AG12" s="572"/>
      <c r="AH12" s="17"/>
      <c r="AI12" s="312"/>
      <c r="AJ12" s="125"/>
      <c r="AK12" s="17"/>
    </row>
    <row r="13" spans="1:37" s="18" customFormat="1" ht="15">
      <c r="A13" s="18" t="s">
        <v>165</v>
      </c>
      <c r="C13" s="32"/>
      <c r="D13" s="17">
        <f>D14+D34</f>
        <v>1208</v>
      </c>
      <c r="E13" s="17">
        <f>E14+E34</f>
        <v>1808</v>
      </c>
      <c r="F13" s="17">
        <v>1345</v>
      </c>
      <c r="G13" s="17">
        <v>1321</v>
      </c>
      <c r="H13" s="17">
        <f>AG13</f>
        <v>1365</v>
      </c>
      <c r="I13" s="17"/>
      <c r="J13" s="17">
        <v>1420</v>
      </c>
      <c r="K13" s="17">
        <f>K14+K34</f>
        <v>1364</v>
      </c>
      <c r="L13" s="17">
        <v>1521</v>
      </c>
      <c r="M13" s="17">
        <v>1808</v>
      </c>
      <c r="N13" s="17">
        <v>2034</v>
      </c>
      <c r="O13" s="17">
        <v>1938</v>
      </c>
      <c r="P13" s="17">
        <v>1567</v>
      </c>
      <c r="Q13" s="17">
        <v>1345</v>
      </c>
      <c r="R13" s="17">
        <v>1273</v>
      </c>
      <c r="S13" s="17">
        <v>1275</v>
      </c>
      <c r="T13" s="17">
        <v>1249</v>
      </c>
      <c r="U13" s="17">
        <v>1321</v>
      </c>
      <c r="V13" s="17">
        <v>1317</v>
      </c>
      <c r="W13" s="17">
        <v>1351</v>
      </c>
      <c r="X13" s="17">
        <v>1333</v>
      </c>
      <c r="Y13" s="17">
        <v>1355</v>
      </c>
      <c r="Z13" s="17">
        <f>Z14+Z34</f>
        <v>1302</v>
      </c>
      <c r="AA13" s="17">
        <f>AA14+AA34</f>
        <v>1428</v>
      </c>
      <c r="AB13" s="572">
        <f>AB14+AB34</f>
        <v>1365</v>
      </c>
      <c r="AC13" s="312">
        <f>IF(AND(AB13=0,AB13=0),0,IF(OR(AND(AB13&gt;0,AA13&lt;=0),AND(AB13&lt;0,AA13&gt;=0)),"nm",IF(AND(AB13&lt;0,AA13&lt;0),IF(-(AB13/AA13-1)*100&lt;-100,"(&gt;100)",-(AB13/AA13-1)*100),IF((AB13/AA13-1)*100&gt;100,"&gt;100",(AB13/AA13-1)*100))))</f>
        <v>-4.411764705882348</v>
      </c>
      <c r="AD13" s="312">
        <f>IF(AND(AB13=0,X13=0),0,IF(OR(AND(AB13&gt;0,X13&lt;=0),AND(AB13&lt;0,X13&gt;=0)),"nm",IF(AND(AB13&lt;0,X13&lt;0),IF(-(AB13/X13-1)*100&lt;-100,"(&gt;100)",-(AB13/X13-1)*100),IF((AB13/X13-1)*100&gt;100,"&gt;100",(AB13/X13-1)*100))))</f>
        <v>2.400600150037513</v>
      </c>
      <c r="AE13" s="313"/>
      <c r="AF13" s="312">
        <v>1333</v>
      </c>
      <c r="AG13" s="572">
        <f>AG14+AG34</f>
        <v>1365</v>
      </c>
      <c r="AH13" s="17">
        <f>IF(AND(AG13=0,AF13=0),0,IF(OR(AND(AG13&gt;0,AF13&lt;=0),AND(AG13&lt;0,AF13&gt;=0)),"nm",IF(AND(AG13&lt;0,AF13&lt;0),IF(-(AG13/AF13-1)*100&lt;-100,"(&gt;100)",-(AG13/AF13-1)*100),IF((AG13/AF13-1)*100&gt;100,"&gt;100",(AG13/AF13-1)*100))))</f>
        <v>2.400600150037513</v>
      </c>
      <c r="AI13" s="312">
        <f>+W13</f>
        <v>1351</v>
      </c>
      <c r="AJ13" s="125">
        <f>AJ14+AJ34</f>
        <v>1428</v>
      </c>
      <c r="AK13" s="17">
        <f>IF(AND(AJ13=0,AI13=0),0,IF(OR(AND(AJ13&gt;0,AI13&lt;=0),AND(AJ13&lt;0,AI13&gt;=0)),"nm",IF(AND(AJ13&lt;0,AI13&lt;0),IF(-(AJ13/AI13-1)*100&lt;-100,"(&gt;100)",-(AJ13/AI13-1)*100),IF((AJ13/AI13-1)*100&gt;100,"&gt;100",(AJ13/AI13-1)*100))))</f>
        <v>5.699481865284972</v>
      </c>
    </row>
    <row r="14" spans="2:37" s="18" customFormat="1" ht="15">
      <c r="B14" s="18" t="s">
        <v>166</v>
      </c>
      <c r="D14" s="17">
        <v>920</v>
      </c>
      <c r="E14" s="17">
        <v>1605</v>
      </c>
      <c r="F14" s="17">
        <v>1212</v>
      </c>
      <c r="G14" s="17">
        <v>1227</v>
      </c>
      <c r="H14" s="17">
        <f>AG14</f>
        <v>1314</v>
      </c>
      <c r="I14" s="17"/>
      <c r="J14" s="17">
        <v>1115</v>
      </c>
      <c r="K14" s="17">
        <v>1151</v>
      </c>
      <c r="L14" s="17">
        <v>1288</v>
      </c>
      <c r="M14" s="17">
        <v>1605</v>
      </c>
      <c r="N14" s="17">
        <v>1827</v>
      </c>
      <c r="O14" s="17">
        <v>1738</v>
      </c>
      <c r="P14" s="17">
        <v>1378</v>
      </c>
      <c r="Q14" s="17">
        <v>1212</v>
      </c>
      <c r="R14" s="17">
        <v>1162</v>
      </c>
      <c r="S14" s="17">
        <v>1163</v>
      </c>
      <c r="T14" s="17">
        <v>1143</v>
      </c>
      <c r="U14" s="17">
        <v>1227</v>
      </c>
      <c r="V14" s="17">
        <v>1220</v>
      </c>
      <c r="W14" s="17">
        <v>1282</v>
      </c>
      <c r="X14" s="17">
        <v>1264</v>
      </c>
      <c r="Y14" s="17">
        <v>1302</v>
      </c>
      <c r="Z14" s="17">
        <f>SUM(Z15:Z17)</f>
        <v>1249</v>
      </c>
      <c r="AA14" s="17">
        <f>SUM(AA15:AA17)</f>
        <v>1377</v>
      </c>
      <c r="AB14" s="572">
        <f>SUM(AB15:AB17)</f>
        <v>1314</v>
      </c>
      <c r="AC14" s="312">
        <f>IF(AND(AB14=0,AB14=0),0,IF(OR(AND(AB14&gt;0,AA14&lt;=0),AND(AB14&lt;0,AA14&gt;=0)),"nm",IF(AND(AB14&lt;0,AA14&lt;0),IF(-(AB14/AA14-1)*100&lt;-100,"(&gt;100)",-(AB14/AA14-1)*100),IF((AB14/AA14-1)*100&gt;100,"&gt;100",(AB14/AA14-1)*100))))</f>
        <v>-4.575163398692805</v>
      </c>
      <c r="AD14" s="312">
        <f>IF(AND(AB14=0,X14=0),0,IF(OR(AND(AB14&gt;0,X14&lt;=0),AND(AB14&lt;0,X14&gt;=0)),"nm",IF(AND(AB14&lt;0,X14&lt;0),IF(-(AB14/X14-1)*100&lt;-100,"(&gt;100)",-(AB14/X14-1)*100),IF((AB14/X14-1)*100&gt;100,"&gt;100",(AB14/X14-1)*100))))</f>
        <v>3.9556962025316444</v>
      </c>
      <c r="AE14" s="313"/>
      <c r="AF14" s="312">
        <v>1264</v>
      </c>
      <c r="AG14" s="572">
        <f>SUM(AG15:AG17)</f>
        <v>1314</v>
      </c>
      <c r="AH14" s="17">
        <f>IF(AND(AG14=0,AF14=0),0,IF(OR(AND(AG14&gt;0,AF14&lt;=0),AND(AG14&lt;0,AF14&gt;=0)),"nm",IF(AND(AG14&lt;0,AF14&lt;0),IF(-(AG14/AF14-1)*100&lt;-100,"(&gt;100)",-(AG14/AF14-1)*100),IF((AG14/AF14-1)*100&gt;100,"&gt;100",(AG14/AF14-1)*100))))</f>
        <v>3.9556962025316444</v>
      </c>
      <c r="AI14" s="312">
        <f>+W14</f>
        <v>1282</v>
      </c>
      <c r="AJ14" s="125">
        <f>SUM(AJ15:AJ17)</f>
        <v>1377</v>
      </c>
      <c r="AK14" s="17">
        <f>IF(AND(AJ14=0,AI14=0),0,IF(OR(AND(AJ14&gt;0,AI14&lt;=0),AND(AJ14&lt;0,AI14&gt;=0)),"nm",IF(AND(AJ14&lt;0,AI14&lt;0),IF(-(AJ14/AI14-1)*100&lt;-100,"(&gt;100)",-(AJ14/AI14-1)*100),IF((AJ14/AI14-1)*100&gt;100,"&gt;100",(AJ14/AI14-1)*100))))</f>
        <v>7.410296411856465</v>
      </c>
    </row>
    <row r="15" spans="2:39" ht="15">
      <c r="B15" s="91" t="s">
        <v>82</v>
      </c>
      <c r="C15" s="22"/>
      <c r="D15" s="75"/>
      <c r="H15" s="121"/>
      <c r="Z15" s="121"/>
      <c r="AA15" s="121"/>
      <c r="AB15" s="575"/>
      <c r="AG15" s="575"/>
      <c r="AL15" s="18"/>
      <c r="AM15" s="18"/>
    </row>
    <row r="16" spans="2:39" ht="15">
      <c r="B16" s="31"/>
      <c r="C16" s="22" t="s">
        <v>382</v>
      </c>
      <c r="D16" s="75">
        <v>219</v>
      </c>
      <c r="E16" s="75">
        <v>195</v>
      </c>
      <c r="F16" s="75">
        <v>107</v>
      </c>
      <c r="G16" s="75">
        <v>86</v>
      </c>
      <c r="H16" s="121">
        <f>AG16</f>
        <v>70</v>
      </c>
      <c r="J16" s="75">
        <v>260</v>
      </c>
      <c r="K16" s="75">
        <v>262</v>
      </c>
      <c r="L16" s="75">
        <v>249</v>
      </c>
      <c r="M16" s="75">
        <v>195</v>
      </c>
      <c r="N16" s="75">
        <v>190</v>
      </c>
      <c r="O16" s="75">
        <v>168</v>
      </c>
      <c r="P16" s="75">
        <v>163</v>
      </c>
      <c r="Q16" s="75">
        <v>107</v>
      </c>
      <c r="R16" s="75">
        <v>104</v>
      </c>
      <c r="S16" s="75">
        <v>94</v>
      </c>
      <c r="T16" s="75">
        <v>84</v>
      </c>
      <c r="U16" s="75">
        <v>86</v>
      </c>
      <c r="V16" s="75">
        <v>86</v>
      </c>
      <c r="W16" s="75">
        <v>85</v>
      </c>
      <c r="X16" s="75">
        <v>81</v>
      </c>
      <c r="Y16" s="75">
        <v>70</v>
      </c>
      <c r="Z16" s="121">
        <v>71</v>
      </c>
      <c r="AA16" s="121">
        <v>71</v>
      </c>
      <c r="AB16" s="575">
        <v>70</v>
      </c>
      <c r="AC16" s="75">
        <f>IF(AND(AB16=0,AB16=0),0,IF(OR(AND(AB16&gt;0,AA16&lt;=0),AND(AB16&lt;0,AA16&gt;=0)),"nm",IF(AND(AB16&lt;0,AA16&lt;0),IF(-(AB16/AA16-1)*100&lt;-100,"(&gt;100)",-(AB16/AA16-1)*100),IF((AB16/AA16-1)*100&gt;100,"&gt;100",(AB16/AA16-1)*100))))</f>
        <v>-1.4084507042253502</v>
      </c>
      <c r="AD16" s="75">
        <f>IF(AND(AB16=0,X16=0),0,IF(OR(AND(AB16&gt;0,X16&lt;=0),AND(AB16&lt;0,X16&gt;=0)),"nm",IF(AND(AB16&lt;0,X16&lt;0),IF(-(AB16/X16-1)*100&lt;-100,"(&gt;100)",-(AB16/X16-1)*100),IF((AB16/X16-1)*100&gt;100,"&gt;100",(AB16/X16-1)*100))))</f>
        <v>-13.580246913580252</v>
      </c>
      <c r="AF16" s="261">
        <v>81</v>
      </c>
      <c r="AG16" s="575">
        <v>70</v>
      </c>
      <c r="AH16" s="75">
        <f>IF(AND(AG16=0,AF16=0),0,IF(OR(AND(AG16&gt;0,AF16&lt;=0),AND(AG16&lt;0,AF16&gt;=0)),"nm",IF(AND(AG16&lt;0,AF16&lt;0),IF(-(AG16/AF16-1)*100&lt;-100,"(&gt;100)",-(AG16/AF16-1)*100),IF((AG16/AF16-1)*100&gt;100,"&gt;100",(AG16/AF16-1)*100))))</f>
        <v>-13.580246913580252</v>
      </c>
      <c r="AI16" s="261">
        <f>+W16</f>
        <v>85</v>
      </c>
      <c r="AJ16" s="122">
        <f>AA16</f>
        <v>71</v>
      </c>
      <c r="AK16" s="121">
        <f>IF(AND(AJ16=0,AI16=0),0,IF(OR(AND(AJ16&gt;0,AI16&lt;=0),AND(AJ16&lt;0,AI16&gt;=0)),"nm",IF(AND(AJ16&lt;0,AI16&lt;0),IF(-(AJ16/AI16-1)*100&lt;-100,"(&gt;100)",-(AJ16/AI16-1)*100),IF((AJ16/AI16-1)*100&gt;100,"&gt;100",(AJ16/AI16-1)*100))))</f>
        <v>-16.470588235294116</v>
      </c>
      <c r="AL16" s="18"/>
      <c r="AM16" s="18"/>
    </row>
    <row r="17" spans="2:39" ht="15">
      <c r="B17" s="31"/>
      <c r="C17" s="22" t="s">
        <v>331</v>
      </c>
      <c r="D17" s="75">
        <v>701</v>
      </c>
      <c r="E17" s="75">
        <v>1410</v>
      </c>
      <c r="F17" s="75">
        <v>1105</v>
      </c>
      <c r="G17" s="75">
        <v>1141</v>
      </c>
      <c r="H17" s="121">
        <f>AG17</f>
        <v>1244</v>
      </c>
      <c r="J17" s="75">
        <v>855</v>
      </c>
      <c r="K17" s="75">
        <v>889</v>
      </c>
      <c r="L17" s="75">
        <v>1039</v>
      </c>
      <c r="M17" s="75">
        <v>1410</v>
      </c>
      <c r="N17" s="75">
        <v>1637</v>
      </c>
      <c r="O17" s="75">
        <v>1570</v>
      </c>
      <c r="P17" s="75">
        <v>1215</v>
      </c>
      <c r="Q17" s="75">
        <v>1105</v>
      </c>
      <c r="R17" s="75">
        <v>1058</v>
      </c>
      <c r="S17" s="75">
        <v>1069</v>
      </c>
      <c r="T17" s="75">
        <v>1059</v>
      </c>
      <c r="U17" s="75">
        <v>1141</v>
      </c>
      <c r="V17" s="75">
        <v>1134</v>
      </c>
      <c r="W17" s="75">
        <v>1197</v>
      </c>
      <c r="X17" s="75">
        <v>1183</v>
      </c>
      <c r="Y17" s="75">
        <v>1232</v>
      </c>
      <c r="Z17" s="121">
        <v>1178</v>
      </c>
      <c r="AA17" s="121">
        <v>1306</v>
      </c>
      <c r="AB17" s="575">
        <v>1244</v>
      </c>
      <c r="AC17" s="75">
        <f>IF(AND(AB17=0,AB17=0),0,IF(OR(AND(AB17&gt;0,AA17&lt;=0),AND(AB17&lt;0,AA17&gt;=0)),"nm",IF(AND(AB17&lt;0,AA17&lt;0),IF(-(AB17/AA17-1)*100&lt;-100,"(&gt;100)",-(AB17/AA17-1)*100),IF((AB17/AA17-1)*100&gt;100,"&gt;100",(AB17/AA17-1)*100))))</f>
        <v>-4.747320061255744</v>
      </c>
      <c r="AD17" s="75">
        <f>IF(AND(AB17=0,X17=0),0,IF(OR(AND(AB17&gt;0,X17&lt;=0),AND(AB17&lt;0,X17&gt;=0)),"nm",IF(AND(AB17&lt;0,X17&lt;0),IF(-(AB17/X17-1)*100&lt;-100,"(&gt;100)",-(AB17/X17-1)*100),IF((AB17/X17-1)*100&gt;100,"&gt;100",(AB17/X17-1)*100))))</f>
        <v>5.15638207945901</v>
      </c>
      <c r="AF17" s="261">
        <v>1183</v>
      </c>
      <c r="AG17" s="575">
        <v>1244</v>
      </c>
      <c r="AH17" s="75">
        <f>IF(AND(AG17=0,AF17=0),0,IF(OR(AND(AG17&gt;0,AF17&lt;=0),AND(AG17&lt;0,AF17&gt;=0)),"nm",IF(AND(AG17&lt;0,AF17&lt;0),IF(-(AG17/AF17-1)*100&lt;-100,"(&gt;100)",-(AG17/AF17-1)*100),IF((AG17/AF17-1)*100&gt;100,"&gt;100",(AG17/AF17-1)*100))))</f>
        <v>5.15638207945901</v>
      </c>
      <c r="AI17" s="261">
        <f>+W17</f>
        <v>1197</v>
      </c>
      <c r="AJ17" s="122">
        <f>AA17</f>
        <v>1306</v>
      </c>
      <c r="AK17" s="121">
        <f>IF(AND(AJ17=0,AI17=0),0,IF(OR(AND(AJ17&gt;0,AI17&lt;=0),AND(AJ17&lt;0,AI17&gt;=0)),"nm",IF(AND(AJ17&lt;0,AI17&lt;0),IF(-(AJ17/AI17-1)*100&lt;-100,"(&gt;100)",-(AJ17/AI17-1)*100),IF((AJ17/AI17-1)*100&gt;100,"&gt;100",(AJ17/AI17-1)*100))))</f>
        <v>9.106098579782795</v>
      </c>
      <c r="AL17" s="18"/>
      <c r="AM17" s="18"/>
    </row>
    <row r="18" spans="2:39" ht="8.25" customHeight="1" hidden="1">
      <c r="B18" s="36"/>
      <c r="C18" s="92"/>
      <c r="D18" s="75"/>
      <c r="F18" s="75">
        <v>0</v>
      </c>
      <c r="H18" s="121"/>
      <c r="Z18" s="121"/>
      <c r="AA18" s="121"/>
      <c r="AB18" s="575"/>
      <c r="AG18" s="575"/>
      <c r="AI18" s="121">
        <v>0</v>
      </c>
      <c r="AL18" s="18"/>
      <c r="AM18" s="18"/>
    </row>
    <row r="19" spans="2:39" ht="15">
      <c r="B19" s="58" t="s">
        <v>81</v>
      </c>
      <c r="C19" s="22"/>
      <c r="D19" s="75"/>
      <c r="H19" s="121"/>
      <c r="Z19" s="121"/>
      <c r="AA19" s="121"/>
      <c r="AB19" s="575"/>
      <c r="AG19" s="575"/>
      <c r="AL19" s="18"/>
      <c r="AM19" s="18"/>
    </row>
    <row r="20" spans="2:39" ht="15">
      <c r="B20" s="36"/>
      <c r="C20" s="22" t="s">
        <v>48</v>
      </c>
      <c r="D20" s="75">
        <v>271</v>
      </c>
      <c r="E20" s="75">
        <v>213</v>
      </c>
      <c r="F20" s="75">
        <v>196</v>
      </c>
      <c r="G20" s="75">
        <v>184</v>
      </c>
      <c r="H20" s="121">
        <f>AG20</f>
        <v>152</v>
      </c>
      <c r="J20" s="75">
        <v>316</v>
      </c>
      <c r="K20" s="75">
        <v>190</v>
      </c>
      <c r="L20" s="75">
        <v>208</v>
      </c>
      <c r="M20" s="75">
        <v>213</v>
      </c>
      <c r="N20" s="75">
        <v>211</v>
      </c>
      <c r="O20" s="75">
        <v>203</v>
      </c>
      <c r="P20" s="75">
        <v>195</v>
      </c>
      <c r="Q20" s="75">
        <v>196</v>
      </c>
      <c r="R20" s="75">
        <v>193</v>
      </c>
      <c r="S20" s="75">
        <v>189</v>
      </c>
      <c r="T20" s="75">
        <v>141</v>
      </c>
      <c r="U20" s="75">
        <v>184</v>
      </c>
      <c r="V20" s="75">
        <v>190</v>
      </c>
      <c r="W20" s="75">
        <v>196</v>
      </c>
      <c r="X20" s="75">
        <v>185</v>
      </c>
      <c r="Y20" s="75">
        <v>130</v>
      </c>
      <c r="Z20" s="121">
        <v>127</v>
      </c>
      <c r="AA20" s="121">
        <v>165</v>
      </c>
      <c r="AB20" s="575">
        <v>152</v>
      </c>
      <c r="AC20" s="75">
        <f>IF(AND(AB20=0,AB20=0),0,IF(OR(AND(AB20&gt;0,AA20&lt;=0),AND(AB20&lt;0,AA20&gt;=0)),"nm",IF(AND(AB20&lt;0,AA20&lt;0),IF(-(AB20/AA20-1)*100&lt;-100,"(&gt;100)",-(AB20/AA20-1)*100),IF((AB20/AA20-1)*100&gt;100,"&gt;100",(AB20/AA20-1)*100))))</f>
        <v>-7.878787878787874</v>
      </c>
      <c r="AD20" s="75">
        <f>IF(AND(AB20=0,X20=0),0,IF(OR(AND(AB20&gt;0,X20&lt;=0),AND(AB20&lt;0,X20&gt;=0)),"nm",IF(AND(AB20&lt;0,X20&lt;0),IF(-(AB20/X20-1)*100&lt;-100,"(&gt;100)",-(AB20/X20-1)*100),IF((AB20/X20-1)*100&gt;100,"&gt;100",(AB20/X20-1)*100))))</f>
        <v>-17.83783783783783</v>
      </c>
      <c r="AF20" s="75">
        <v>185</v>
      </c>
      <c r="AG20" s="575">
        <v>152</v>
      </c>
      <c r="AH20" s="75">
        <f>IF(AND(AG20=0,AF20=0),0,IF(OR(AND(AG20&gt;0,AF20&lt;=0),AND(AG20&lt;0,AF20&gt;=0)),"nm",IF(AND(AG20&lt;0,AF20&lt;0),IF(-(AG20/AF20-1)*100&lt;-100,"(&gt;100)",-(AG20/AF20-1)*100),IF((AG20/AF20-1)*100&gt;100,"&gt;100",(AG20/AF20-1)*100))))</f>
        <v>-17.83783783783783</v>
      </c>
      <c r="AI20" s="121">
        <f>+W20</f>
        <v>196</v>
      </c>
      <c r="AJ20" s="122">
        <f>AA20</f>
        <v>165</v>
      </c>
      <c r="AK20" s="121">
        <f>IF(AND(AJ20=0,AI20=0),0,IF(OR(AND(AJ20&gt;0,AI20&lt;=0),AND(AJ20&lt;0,AI20&gt;=0)),"nm",IF(AND(AJ20&lt;0,AI20&lt;0),IF(-(AJ20/AI20-1)*100&lt;-100,"(&gt;100)",-(AJ20/AI20-1)*100),IF((AJ20/AI20-1)*100&gt;100,"&gt;100",(AJ20/AI20-1)*100))))</f>
        <v>-15.816326530612246</v>
      </c>
      <c r="AL20" s="18"/>
      <c r="AM20" s="18"/>
    </row>
    <row r="21" spans="2:39" ht="15">
      <c r="B21" s="36"/>
      <c r="C21" s="93" t="s">
        <v>49</v>
      </c>
      <c r="D21" s="75">
        <v>313</v>
      </c>
      <c r="E21" s="75">
        <v>327</v>
      </c>
      <c r="F21" s="75">
        <v>212</v>
      </c>
      <c r="G21" s="75">
        <v>176</v>
      </c>
      <c r="H21" s="121">
        <f>AG21</f>
        <v>123</v>
      </c>
      <c r="J21" s="75">
        <v>381</v>
      </c>
      <c r="K21" s="75">
        <v>394</v>
      </c>
      <c r="L21" s="75">
        <v>375</v>
      </c>
      <c r="M21" s="75">
        <v>327</v>
      </c>
      <c r="N21" s="75">
        <v>308</v>
      </c>
      <c r="O21" s="75">
        <v>253</v>
      </c>
      <c r="P21" s="75">
        <v>226</v>
      </c>
      <c r="Q21" s="75">
        <v>212</v>
      </c>
      <c r="R21" s="75">
        <v>186</v>
      </c>
      <c r="S21" s="75">
        <v>169</v>
      </c>
      <c r="T21" s="75">
        <v>173</v>
      </c>
      <c r="U21" s="75">
        <v>176</v>
      </c>
      <c r="V21" s="75">
        <v>164</v>
      </c>
      <c r="W21" s="75">
        <v>159</v>
      </c>
      <c r="X21" s="75">
        <v>145</v>
      </c>
      <c r="Y21" s="75">
        <v>126</v>
      </c>
      <c r="Z21" s="121">
        <v>129</v>
      </c>
      <c r="AA21" s="121">
        <v>126</v>
      </c>
      <c r="AB21" s="575">
        <v>123</v>
      </c>
      <c r="AC21" s="75">
        <f>IF(AND(AB21=0,AB21=0),0,IF(OR(AND(AB21&gt;0,AA21&lt;=0),AND(AB21&lt;0,AA21&gt;=0)),"nm",IF(AND(AB21&lt;0,AA21&lt;0),IF(-(AB21/AA21-1)*100&lt;-100,"(&gt;100)",-(AB21/AA21-1)*100),IF((AB21/AA21-1)*100&gt;100,"&gt;100",(AB21/AA21-1)*100))))</f>
        <v>-2.3809523809523836</v>
      </c>
      <c r="AD21" s="75">
        <f>IF(AND(AB21=0,X21=0),0,IF(OR(AND(AB21&gt;0,X21&lt;=0),AND(AB21&lt;0,X21&gt;=0)),"nm",IF(AND(AB21&lt;0,X21&lt;0),IF(-(AB21/X21-1)*100&lt;-100,"(&gt;100)",-(AB21/X21-1)*100),IF((AB21/X21-1)*100&gt;100,"&gt;100",(AB21/X21-1)*100))))</f>
        <v>-15.172413793103445</v>
      </c>
      <c r="AF21" s="75">
        <v>145</v>
      </c>
      <c r="AG21" s="575">
        <v>123</v>
      </c>
      <c r="AH21" s="75">
        <f>IF(AND(AG21=0,AF21=0),0,IF(OR(AND(AG21&gt;0,AF21&lt;=0),AND(AG21&lt;0,AF21&gt;=0)),"nm",IF(AND(AG21&lt;0,AF21&lt;0),IF(-(AG21/AF21-1)*100&lt;-100,"(&gt;100)",-(AG21/AF21-1)*100),IF((AG21/AF21-1)*100&gt;100,"&gt;100",(AG21/AF21-1)*100))))</f>
        <v>-15.172413793103445</v>
      </c>
      <c r="AI21" s="121">
        <f>+W21</f>
        <v>159</v>
      </c>
      <c r="AJ21" s="122">
        <f>AA21</f>
        <v>126</v>
      </c>
      <c r="AK21" s="121">
        <f>IF(AND(AJ21=0,AI21=0),0,IF(OR(AND(AJ21&gt;0,AI21&lt;=0),AND(AJ21&lt;0,AI21&gt;=0)),"nm",IF(AND(AJ21&lt;0,AI21&lt;0),IF(-(AJ21/AI21-1)*100&lt;-100,"(&gt;100)",-(AJ21/AI21-1)*100),IF((AJ21/AI21-1)*100&gt;100,"&gt;100",(AJ21/AI21-1)*100))))</f>
        <v>-20.75471698113207</v>
      </c>
      <c r="AL21" s="18"/>
      <c r="AM21" s="18"/>
    </row>
    <row r="22" spans="2:39" ht="15">
      <c r="B22" s="36"/>
      <c r="C22" s="93" t="s">
        <v>76</v>
      </c>
      <c r="D22" s="75">
        <v>241</v>
      </c>
      <c r="E22" s="75">
        <v>213</v>
      </c>
      <c r="F22" s="75">
        <v>166</v>
      </c>
      <c r="G22" s="75">
        <v>132</v>
      </c>
      <c r="H22" s="121">
        <f>AG22</f>
        <v>154</v>
      </c>
      <c r="J22" s="75">
        <v>249</v>
      </c>
      <c r="K22" s="75">
        <v>229</v>
      </c>
      <c r="L22" s="75">
        <v>198</v>
      </c>
      <c r="M22" s="75">
        <v>213</v>
      </c>
      <c r="N22" s="75">
        <v>199</v>
      </c>
      <c r="O22" s="75">
        <v>190</v>
      </c>
      <c r="P22" s="75">
        <v>190</v>
      </c>
      <c r="Q22" s="75">
        <v>166</v>
      </c>
      <c r="R22" s="75">
        <v>155</v>
      </c>
      <c r="S22" s="75">
        <v>151</v>
      </c>
      <c r="T22" s="75">
        <v>129</v>
      </c>
      <c r="U22" s="75">
        <v>132</v>
      </c>
      <c r="V22" s="75">
        <v>131</v>
      </c>
      <c r="W22" s="75">
        <v>131</v>
      </c>
      <c r="X22" s="75">
        <v>115</v>
      </c>
      <c r="Y22" s="75">
        <v>129</v>
      </c>
      <c r="Z22" s="121">
        <v>120</v>
      </c>
      <c r="AA22" s="121">
        <v>133</v>
      </c>
      <c r="AB22" s="575">
        <v>154</v>
      </c>
      <c r="AC22" s="75">
        <f>IF(AND(AB22=0,AB22=0),0,IF(OR(AND(AB22&gt;0,AA22&lt;=0),AND(AB22&lt;0,AA22&gt;=0)),"nm",IF(AND(AB22&lt;0,AA22&lt;0),IF(-(AB22/AA22-1)*100&lt;-100,"(&gt;100)",-(AB22/AA22-1)*100),IF((AB22/AA22-1)*100&gt;100,"&gt;100",(AB22/AA22-1)*100))))</f>
        <v>15.789473684210531</v>
      </c>
      <c r="AD22" s="75">
        <f>IF(AND(AB22=0,X22=0),0,IF(OR(AND(AB22&gt;0,X22&lt;=0),AND(AB22&lt;0,X22&gt;=0)),"nm",IF(AND(AB22&lt;0,X22&lt;0),IF(-(AB22/X22-1)*100&lt;-100,"(&gt;100)",-(AB22/X22-1)*100),IF((AB22/X22-1)*100&gt;100,"&gt;100",(AB22/X22-1)*100))))</f>
        <v>33.913043478260875</v>
      </c>
      <c r="AF22" s="75">
        <v>115</v>
      </c>
      <c r="AG22" s="575">
        <v>154</v>
      </c>
      <c r="AH22" s="75">
        <f>IF(AND(AG22=0,AF22=0),0,IF(OR(AND(AG22&gt;0,AF22&lt;=0),AND(AG22&lt;0,AF22&gt;=0)),"nm",IF(AND(AG22&lt;0,AF22&lt;0),IF(-(AG22/AF22-1)*100&lt;-100,"(&gt;100)",-(AG22/AF22-1)*100),IF((AG22/AF22-1)*100&gt;100,"&gt;100",(AG22/AF22-1)*100))))</f>
        <v>33.913043478260875</v>
      </c>
      <c r="AI22" s="121">
        <f>+W22</f>
        <v>131</v>
      </c>
      <c r="AJ22" s="122">
        <f>AA22</f>
        <v>133</v>
      </c>
      <c r="AK22" s="121">
        <f>IF(AND(AJ22=0,AI22=0),0,IF(OR(AND(AJ22&gt;0,AI22&lt;=0),AND(AJ22&lt;0,AI22&gt;=0)),"nm",IF(AND(AJ22&lt;0,AI22&lt;0),IF(-(AJ22/AI22-1)*100&lt;-100,"(&gt;100)",-(AJ22/AI22-1)*100),IF((AJ22/AI22-1)*100&gt;100,"&gt;100",(AJ22/AI22-1)*100))))</f>
        <v>1.526717557251911</v>
      </c>
      <c r="AL22" s="18"/>
      <c r="AM22" s="18"/>
    </row>
    <row r="23" spans="2:39" ht="15">
      <c r="B23" s="36"/>
      <c r="C23" s="93" t="s">
        <v>74</v>
      </c>
      <c r="D23" s="75">
        <v>59</v>
      </c>
      <c r="E23" s="75">
        <v>82</v>
      </c>
      <c r="F23" s="75">
        <v>107</v>
      </c>
      <c r="G23" s="75">
        <v>111</v>
      </c>
      <c r="H23" s="121">
        <f>AG23</f>
        <v>202</v>
      </c>
      <c r="J23" s="75">
        <v>72</v>
      </c>
      <c r="K23" s="75">
        <v>79</v>
      </c>
      <c r="L23" s="75">
        <v>72</v>
      </c>
      <c r="M23" s="75">
        <v>82</v>
      </c>
      <c r="N23" s="75">
        <v>72</v>
      </c>
      <c r="O23" s="75">
        <v>80</v>
      </c>
      <c r="P23" s="75">
        <v>92</v>
      </c>
      <c r="Q23" s="75">
        <v>107</v>
      </c>
      <c r="R23" s="75">
        <v>99</v>
      </c>
      <c r="S23" s="75">
        <v>98</v>
      </c>
      <c r="T23" s="75">
        <v>107</v>
      </c>
      <c r="U23" s="75">
        <v>111</v>
      </c>
      <c r="V23" s="75">
        <v>107</v>
      </c>
      <c r="W23" s="75">
        <v>115</v>
      </c>
      <c r="X23" s="75">
        <v>129</v>
      </c>
      <c r="Y23" s="75">
        <v>130</v>
      </c>
      <c r="Z23" s="121">
        <v>169</v>
      </c>
      <c r="AA23" s="121">
        <v>193</v>
      </c>
      <c r="AB23" s="575">
        <v>202</v>
      </c>
      <c r="AC23" s="75">
        <f>IF(AND(AB23=0,AB23=0),0,IF(OR(AND(AB23&gt;0,AA23&lt;=0),AND(AB23&lt;0,AA23&gt;=0)),"nm",IF(AND(AB23&lt;0,AA23&lt;0),IF(-(AB23/AA23-1)*100&lt;-100,"(&gt;100)",-(AB23/AA23-1)*100),IF((AB23/AA23-1)*100&gt;100,"&gt;100",(AB23/AA23-1)*100))))</f>
        <v>4.663212435233155</v>
      </c>
      <c r="AD23" s="75">
        <f>IF(AND(AB23=0,X23=0),0,IF(OR(AND(AB23&gt;0,X23&lt;=0),AND(AB23&lt;0,X23&gt;=0)),"nm",IF(AND(AB23&lt;0,X23&lt;0),IF(-(AB23/X23-1)*100&lt;-100,"(&gt;100)",-(AB23/X23-1)*100),IF((AB23/X23-1)*100&gt;100,"&gt;100",(AB23/X23-1)*100))))</f>
        <v>56.58914728682169</v>
      </c>
      <c r="AF23" s="75">
        <v>129</v>
      </c>
      <c r="AG23" s="575">
        <v>202</v>
      </c>
      <c r="AH23" s="75">
        <f>IF(AND(AG23=0,AF23=0),0,IF(OR(AND(AG23&gt;0,AF23&lt;=0),AND(AG23&lt;0,AF23&gt;=0)),"nm",IF(AND(AG23&lt;0,AF23&lt;0),IF(-(AG23/AF23-1)*100&lt;-100,"(&gt;100)",-(AG23/AF23-1)*100),IF((AG23/AF23-1)*100&gt;100,"&gt;100",(AG23/AF23-1)*100))))</f>
        <v>56.58914728682169</v>
      </c>
      <c r="AI23" s="121">
        <f>+W23</f>
        <v>115</v>
      </c>
      <c r="AJ23" s="122">
        <f>AA23</f>
        <v>193</v>
      </c>
      <c r="AK23" s="121">
        <f>IF(AND(AJ23=0,AI23=0),0,IF(OR(AND(AJ23&gt;0,AI23&lt;=0),AND(AJ23&lt;0,AI23&gt;=0)),"nm",IF(AND(AJ23&lt;0,AI23&lt;0),IF(-(AJ23/AI23-1)*100&lt;-100,"(&gt;100)",-(AJ23/AI23-1)*100),IF((AJ23/AI23-1)*100&gt;100,"&gt;100",(AJ23/AI23-1)*100))))</f>
        <v>67.82608695652175</v>
      </c>
      <c r="AL23" s="18"/>
      <c r="AM23" s="18"/>
    </row>
    <row r="24" spans="2:39" ht="15">
      <c r="B24" s="36"/>
      <c r="C24" s="93" t="s">
        <v>77</v>
      </c>
      <c r="D24" s="75">
        <v>36</v>
      </c>
      <c r="E24" s="75">
        <v>770</v>
      </c>
      <c r="F24" s="75">
        <v>531</v>
      </c>
      <c r="G24" s="75">
        <v>624</v>
      </c>
      <c r="H24" s="121">
        <f>AG24</f>
        <v>683</v>
      </c>
      <c r="J24" s="75">
        <v>97</v>
      </c>
      <c r="K24" s="75">
        <v>259</v>
      </c>
      <c r="L24" s="75">
        <v>435</v>
      </c>
      <c r="M24" s="75">
        <v>770</v>
      </c>
      <c r="N24" s="75">
        <v>1037</v>
      </c>
      <c r="O24" s="75">
        <v>1012</v>
      </c>
      <c r="P24" s="75">
        <v>675</v>
      </c>
      <c r="Q24" s="75">
        <v>531</v>
      </c>
      <c r="R24" s="75">
        <v>529</v>
      </c>
      <c r="S24" s="75">
        <v>556</v>
      </c>
      <c r="T24" s="75">
        <v>593</v>
      </c>
      <c r="U24" s="75">
        <v>624</v>
      </c>
      <c r="V24" s="75">
        <v>628</v>
      </c>
      <c r="W24" s="75">
        <v>681</v>
      </c>
      <c r="X24" s="75">
        <v>690</v>
      </c>
      <c r="Y24" s="75">
        <v>787</v>
      </c>
      <c r="Z24" s="121">
        <v>704</v>
      </c>
      <c r="AA24" s="121">
        <v>760</v>
      </c>
      <c r="AB24" s="575">
        <v>683</v>
      </c>
      <c r="AC24" s="75">
        <f>IF(AND(AB24=0,AB24=0),0,IF(OR(AND(AB24&gt;0,AA24&lt;=0),AND(AB24&lt;0,AA24&gt;=0)),"nm",IF(AND(AB24&lt;0,AA24&lt;0),IF(-(AB24/AA24-1)*100&lt;-100,"(&gt;100)",-(AB24/AA24-1)*100),IF((AB24/AA24-1)*100&gt;100,"&gt;100",(AB24/AA24-1)*100))))</f>
        <v>-10.131578947368425</v>
      </c>
      <c r="AD24" s="75">
        <f>IF(AND(AB24=0,X24=0),0,IF(OR(AND(AB24&gt;0,X24&lt;=0),AND(AB24&lt;0,X24&gt;=0)),"nm",IF(AND(AB24&lt;0,X24&lt;0),IF(-(AB24/X24-1)*100&lt;-100,"(&gt;100)",-(AB24/X24-1)*100),IF((AB24/X24-1)*100&gt;100,"&gt;100",(AB24/X24-1)*100))))</f>
        <v>-1.0144927536231862</v>
      </c>
      <c r="AF24" s="75">
        <v>690</v>
      </c>
      <c r="AG24" s="575">
        <v>683</v>
      </c>
      <c r="AH24" s="75">
        <f>IF(AND(AG24=0,AF24=0),0,IF(OR(AND(AG24&gt;0,AF24&lt;=0),AND(AG24&lt;0,AF24&gt;=0)),"nm",IF(AND(AG24&lt;0,AF24&lt;0),IF(-(AG24/AF24-1)*100&lt;-100,"(&gt;100)",-(AG24/AF24-1)*100),IF((AG24/AF24-1)*100&gt;100,"&gt;100",(AG24/AF24-1)*100))))</f>
        <v>-1.0144927536231862</v>
      </c>
      <c r="AI24" s="121">
        <f>+W24</f>
        <v>681</v>
      </c>
      <c r="AJ24" s="122">
        <f>AA24</f>
        <v>760</v>
      </c>
      <c r="AK24" s="121">
        <f>IF(AND(AJ24=0,AI24=0),0,IF(OR(AND(AJ24&gt;0,AI24&lt;=0),AND(AJ24&lt;0,AI24&gt;=0)),"nm",IF(AND(AJ24&lt;0,AI24&lt;0),IF(-(AJ24/AI24-1)*100&lt;-100,"(&gt;100)",-(AJ24/AI24-1)*100),IF((AJ24/AI24-1)*100&gt;100,"&gt;100",(AJ24/AI24-1)*100))))</f>
        <v>11.600587371512482</v>
      </c>
      <c r="AL24" s="18"/>
      <c r="AM24" s="18"/>
    </row>
    <row r="25" spans="2:39" ht="15">
      <c r="B25" s="91" t="s">
        <v>89</v>
      </c>
      <c r="C25" s="22"/>
      <c r="D25" s="75"/>
      <c r="H25" s="121"/>
      <c r="Z25" s="436"/>
      <c r="AA25" s="121"/>
      <c r="AB25" s="575"/>
      <c r="AG25" s="575"/>
      <c r="AL25" s="18"/>
      <c r="AM25" s="18"/>
    </row>
    <row r="26" spans="2:39" ht="15">
      <c r="B26" s="36"/>
      <c r="C26" s="94" t="s">
        <v>83</v>
      </c>
      <c r="D26" s="75">
        <v>351</v>
      </c>
      <c r="E26" s="75">
        <v>386</v>
      </c>
      <c r="F26" s="75">
        <v>325</v>
      </c>
      <c r="G26" s="75">
        <v>241</v>
      </c>
      <c r="H26" s="121">
        <f aca="true" t="shared" si="5" ref="H26:H36">AG26</f>
        <v>319</v>
      </c>
      <c r="J26" s="75">
        <v>381</v>
      </c>
      <c r="K26" s="75">
        <v>361</v>
      </c>
      <c r="L26" s="75">
        <v>349</v>
      </c>
      <c r="M26" s="75">
        <v>386</v>
      </c>
      <c r="N26" s="75">
        <v>375</v>
      </c>
      <c r="O26" s="75">
        <v>351</v>
      </c>
      <c r="P26" s="75">
        <v>330</v>
      </c>
      <c r="Q26" s="75">
        <v>325</v>
      </c>
      <c r="R26" s="75">
        <v>284</v>
      </c>
      <c r="S26" s="75">
        <v>280</v>
      </c>
      <c r="T26" s="75">
        <v>257</v>
      </c>
      <c r="U26" s="75">
        <v>241</v>
      </c>
      <c r="V26" s="75">
        <v>232</v>
      </c>
      <c r="W26" s="75">
        <v>241</v>
      </c>
      <c r="X26" s="75">
        <v>234</v>
      </c>
      <c r="Y26" s="75">
        <v>240</v>
      </c>
      <c r="Z26" s="121">
        <v>247</v>
      </c>
      <c r="AA26" s="121">
        <v>289</v>
      </c>
      <c r="AB26" s="575">
        <v>319</v>
      </c>
      <c r="AC26" s="75">
        <f aca="true" t="shared" si="6" ref="AC26:AC36">IF(AND(AB26=0,AB26=0),0,IF(OR(AND(AB26&gt;0,AA26&lt;=0),AND(AB26&lt;0,AA26&gt;=0)),"nm",IF(AND(AB26&lt;0,AA26&lt;0),IF(-(AB26/AA26-1)*100&lt;-100,"(&gt;100)",-(AB26/AA26-1)*100),IF((AB26/AA26-1)*100&gt;100,"&gt;100",(AB26/AA26-1)*100))))</f>
        <v>10.380622837370247</v>
      </c>
      <c r="AD26" s="75">
        <f aca="true" t="shared" si="7" ref="AD26:AD36">IF(AND(AB26=0,X26=0),0,IF(OR(AND(AB26&gt;0,X26&lt;=0),AND(AB26&lt;0,X26&gt;=0)),"nm",IF(AND(AB26&lt;0,X26&lt;0),IF(-(AB26/X26-1)*100&lt;-100,"(&gt;100)",-(AB26/X26-1)*100),IF((AB26/X26-1)*100&gt;100,"&gt;100",(AB26/X26-1)*100))))</f>
        <v>36.32478632478633</v>
      </c>
      <c r="AF26" s="75">
        <v>234</v>
      </c>
      <c r="AG26" s="575">
        <v>319</v>
      </c>
      <c r="AH26" s="75">
        <f aca="true" t="shared" si="8" ref="AH26:AH34">IF(AND(AG26=0,AF26=0),0,IF(OR(AND(AG26&gt;0,AF26&lt;=0),AND(AG26&lt;0,AF26&gt;=0)),"nm",IF(AND(AG26&lt;0,AF26&lt;0),IF(-(AG26/AF26-1)*100&lt;-100,"(&gt;100)",-(AG26/AF26-1)*100),IF((AG26/AF26-1)*100&gt;100,"&gt;100",(AG26/AF26-1)*100))))</f>
        <v>36.32478632478633</v>
      </c>
      <c r="AI26" s="121">
        <f aca="true" t="shared" si="9" ref="AI26:AI36">+W26</f>
        <v>241</v>
      </c>
      <c r="AJ26" s="122">
        <f aca="true" t="shared" si="10" ref="AJ26:AJ36">AA26</f>
        <v>289</v>
      </c>
      <c r="AK26" s="121">
        <f aca="true" t="shared" si="11" ref="AK26:AK34">IF(AND(AJ26=0,AI26=0),0,IF(OR(AND(AJ26&gt;0,AI26&lt;=0),AND(AJ26&lt;0,AI26&gt;=0)),"nm",IF(AND(AJ26&lt;0,AI26&lt;0),IF(-(AJ26/AI26-1)*100&lt;-100,"(&gt;100)",-(AJ26/AI26-1)*100),IF((AJ26/AI26-1)*100&gt;100,"&gt;100",(AJ26/AI26-1)*100))))</f>
        <v>19.917012448132777</v>
      </c>
      <c r="AL26" s="18"/>
      <c r="AM26" s="18"/>
    </row>
    <row r="27" spans="3:39" ht="15">
      <c r="C27" s="94" t="s">
        <v>84</v>
      </c>
      <c r="D27" s="75">
        <v>30</v>
      </c>
      <c r="E27" s="75">
        <v>22</v>
      </c>
      <c r="F27" s="75">
        <v>25</v>
      </c>
      <c r="G27" s="75">
        <v>38</v>
      </c>
      <c r="H27" s="121">
        <f t="shared" si="5"/>
        <v>50</v>
      </c>
      <c r="J27" s="75">
        <v>44</v>
      </c>
      <c r="K27" s="75">
        <v>46</v>
      </c>
      <c r="L27" s="75">
        <v>24</v>
      </c>
      <c r="M27" s="75">
        <v>22</v>
      </c>
      <c r="N27" s="75">
        <v>24</v>
      </c>
      <c r="O27" s="75">
        <v>13</v>
      </c>
      <c r="P27" s="75">
        <v>12</v>
      </c>
      <c r="Q27" s="75">
        <v>25</v>
      </c>
      <c r="R27" s="75">
        <v>32</v>
      </c>
      <c r="S27" s="75">
        <v>32</v>
      </c>
      <c r="T27" s="75">
        <v>33</v>
      </c>
      <c r="U27" s="75">
        <v>38</v>
      </c>
      <c r="V27" s="75">
        <v>38</v>
      </c>
      <c r="W27" s="75">
        <v>38</v>
      </c>
      <c r="X27" s="75">
        <v>37</v>
      </c>
      <c r="Y27" s="75">
        <v>38</v>
      </c>
      <c r="Z27" s="121">
        <v>39</v>
      </c>
      <c r="AA27" s="121">
        <v>50</v>
      </c>
      <c r="AB27" s="575">
        <v>50</v>
      </c>
      <c r="AC27" s="75">
        <f t="shared" si="6"/>
        <v>0</v>
      </c>
      <c r="AD27" s="75">
        <f t="shared" si="7"/>
        <v>35.13513513513513</v>
      </c>
      <c r="AF27" s="75">
        <v>37</v>
      </c>
      <c r="AG27" s="575">
        <v>50</v>
      </c>
      <c r="AH27" s="75">
        <f t="shared" si="8"/>
        <v>35.13513513513513</v>
      </c>
      <c r="AI27" s="121">
        <f t="shared" si="9"/>
        <v>38</v>
      </c>
      <c r="AJ27" s="122">
        <f t="shared" si="10"/>
        <v>50</v>
      </c>
      <c r="AK27" s="121">
        <f t="shared" si="11"/>
        <v>31.578947368421062</v>
      </c>
      <c r="AL27" s="18"/>
      <c r="AM27" s="18"/>
    </row>
    <row r="28" spans="3:39" ht="15">
      <c r="C28" s="94" t="s">
        <v>85</v>
      </c>
      <c r="D28" s="75">
        <v>43</v>
      </c>
      <c r="E28" s="75">
        <v>30</v>
      </c>
      <c r="F28" s="75">
        <v>17</v>
      </c>
      <c r="G28" s="75">
        <v>13</v>
      </c>
      <c r="H28" s="121">
        <f t="shared" si="5"/>
        <v>11</v>
      </c>
      <c r="J28" s="75">
        <v>42</v>
      </c>
      <c r="K28" s="75">
        <v>42</v>
      </c>
      <c r="L28" s="75">
        <v>41</v>
      </c>
      <c r="M28" s="75">
        <v>30</v>
      </c>
      <c r="N28" s="75">
        <v>27</v>
      </c>
      <c r="O28" s="75">
        <v>21</v>
      </c>
      <c r="P28" s="75">
        <v>19</v>
      </c>
      <c r="Q28" s="75">
        <v>17</v>
      </c>
      <c r="R28" s="75">
        <v>16</v>
      </c>
      <c r="S28" s="75">
        <v>14</v>
      </c>
      <c r="T28" s="75">
        <v>13</v>
      </c>
      <c r="U28" s="75">
        <v>13</v>
      </c>
      <c r="V28" s="75">
        <v>11</v>
      </c>
      <c r="W28" s="75">
        <v>12</v>
      </c>
      <c r="X28" s="75">
        <v>12</v>
      </c>
      <c r="Y28" s="75">
        <v>12</v>
      </c>
      <c r="Z28" s="121">
        <v>12</v>
      </c>
      <c r="AA28" s="121">
        <v>12</v>
      </c>
      <c r="AB28" s="575">
        <v>11</v>
      </c>
      <c r="AC28" s="75">
        <f t="shared" si="6"/>
        <v>-8.333333333333337</v>
      </c>
      <c r="AD28" s="75">
        <f t="shared" si="7"/>
        <v>-8.333333333333337</v>
      </c>
      <c r="AF28" s="75">
        <v>12</v>
      </c>
      <c r="AG28" s="575">
        <v>11</v>
      </c>
      <c r="AH28" s="75">
        <f t="shared" si="8"/>
        <v>-8.333333333333337</v>
      </c>
      <c r="AI28" s="121">
        <f t="shared" si="9"/>
        <v>12</v>
      </c>
      <c r="AJ28" s="122">
        <f t="shared" si="10"/>
        <v>12</v>
      </c>
      <c r="AK28" s="121">
        <f t="shared" si="11"/>
        <v>0</v>
      </c>
      <c r="AL28" s="18"/>
      <c r="AM28" s="18"/>
    </row>
    <row r="29" spans="3:39" ht="15">
      <c r="C29" s="94" t="s">
        <v>86</v>
      </c>
      <c r="D29" s="75">
        <v>187</v>
      </c>
      <c r="E29" s="75">
        <v>238</v>
      </c>
      <c r="F29" s="75">
        <v>107</v>
      </c>
      <c r="G29" s="75">
        <v>131</v>
      </c>
      <c r="H29" s="121">
        <f t="shared" si="5"/>
        <v>153</v>
      </c>
      <c r="J29" s="75">
        <v>226</v>
      </c>
      <c r="K29" s="75">
        <v>185</v>
      </c>
      <c r="L29" s="75">
        <v>177</v>
      </c>
      <c r="M29" s="75">
        <v>238</v>
      </c>
      <c r="N29" s="75">
        <v>280</v>
      </c>
      <c r="O29" s="75">
        <v>197</v>
      </c>
      <c r="P29" s="75">
        <v>161</v>
      </c>
      <c r="Q29" s="75">
        <v>107</v>
      </c>
      <c r="R29" s="75">
        <v>120</v>
      </c>
      <c r="S29" s="75">
        <v>105</v>
      </c>
      <c r="T29" s="75">
        <v>123</v>
      </c>
      <c r="U29" s="75">
        <v>131</v>
      </c>
      <c r="V29" s="75">
        <v>142</v>
      </c>
      <c r="W29" s="75">
        <v>142</v>
      </c>
      <c r="X29" s="75">
        <v>140</v>
      </c>
      <c r="Y29" s="75">
        <v>155</v>
      </c>
      <c r="Z29" s="121">
        <v>201</v>
      </c>
      <c r="AA29" s="121">
        <v>229</v>
      </c>
      <c r="AB29" s="575">
        <v>153</v>
      </c>
      <c r="AC29" s="75">
        <f t="shared" si="6"/>
        <v>-33.18777292576419</v>
      </c>
      <c r="AD29" s="75">
        <f t="shared" si="7"/>
        <v>9.285714285714274</v>
      </c>
      <c r="AF29" s="75">
        <v>140</v>
      </c>
      <c r="AG29" s="575">
        <v>153</v>
      </c>
      <c r="AH29" s="75">
        <f t="shared" si="8"/>
        <v>9.285714285714274</v>
      </c>
      <c r="AI29" s="121">
        <f t="shared" si="9"/>
        <v>142</v>
      </c>
      <c r="AJ29" s="122">
        <f t="shared" si="10"/>
        <v>229</v>
      </c>
      <c r="AK29" s="121">
        <f t="shared" si="11"/>
        <v>61.26760563380282</v>
      </c>
      <c r="AL29" s="18"/>
      <c r="AM29" s="18"/>
    </row>
    <row r="30" spans="3:39" ht="15">
      <c r="C30" s="94" t="s">
        <v>87</v>
      </c>
      <c r="D30" s="75">
        <v>6</v>
      </c>
      <c r="E30" s="75">
        <v>97</v>
      </c>
      <c r="F30" s="75">
        <v>183</v>
      </c>
      <c r="G30" s="75">
        <v>285</v>
      </c>
      <c r="H30" s="121">
        <f t="shared" si="5"/>
        <v>527</v>
      </c>
      <c r="J30" s="75">
        <v>7</v>
      </c>
      <c r="K30" s="75">
        <v>10</v>
      </c>
      <c r="L30" s="75">
        <v>39</v>
      </c>
      <c r="M30" s="75">
        <v>97</v>
      </c>
      <c r="N30" s="75">
        <v>121</v>
      </c>
      <c r="O30" s="75">
        <v>115</v>
      </c>
      <c r="P30" s="75">
        <v>150</v>
      </c>
      <c r="Q30" s="75">
        <v>183</v>
      </c>
      <c r="R30" s="75">
        <v>212</v>
      </c>
      <c r="S30" s="75">
        <v>229</v>
      </c>
      <c r="T30" s="75">
        <v>205</v>
      </c>
      <c r="U30" s="75">
        <v>285</v>
      </c>
      <c r="V30" s="75">
        <v>422</v>
      </c>
      <c r="W30" s="121">
        <v>462</v>
      </c>
      <c r="X30" s="121">
        <v>474</v>
      </c>
      <c r="Y30" s="75">
        <v>520</v>
      </c>
      <c r="Z30" s="121">
        <v>524</v>
      </c>
      <c r="AA30" s="121">
        <v>545</v>
      </c>
      <c r="AB30" s="575">
        <v>527</v>
      </c>
      <c r="AC30" s="75">
        <f t="shared" si="6"/>
        <v>-3.302752293577982</v>
      </c>
      <c r="AD30" s="75">
        <f t="shared" si="7"/>
        <v>11.181434599156127</v>
      </c>
      <c r="AF30" s="75">
        <v>474</v>
      </c>
      <c r="AG30" s="575">
        <v>527</v>
      </c>
      <c r="AH30" s="75">
        <f t="shared" si="8"/>
        <v>11.181434599156127</v>
      </c>
      <c r="AI30" s="121">
        <f t="shared" si="9"/>
        <v>462</v>
      </c>
      <c r="AJ30" s="122">
        <f t="shared" si="10"/>
        <v>545</v>
      </c>
      <c r="AK30" s="121">
        <f t="shared" si="11"/>
        <v>17.96536796536796</v>
      </c>
      <c r="AL30" s="18"/>
      <c r="AM30" s="18"/>
    </row>
    <row r="31" spans="3:39" ht="15">
      <c r="C31" s="94" t="s">
        <v>88</v>
      </c>
      <c r="D31" s="75">
        <v>66</v>
      </c>
      <c r="E31" s="75">
        <v>621</v>
      </c>
      <c r="F31" s="75">
        <v>399</v>
      </c>
      <c r="G31" s="75">
        <v>400</v>
      </c>
      <c r="H31" s="121">
        <f t="shared" si="5"/>
        <v>175</v>
      </c>
      <c r="J31" s="75">
        <v>141</v>
      </c>
      <c r="K31" s="75">
        <v>236</v>
      </c>
      <c r="L31" s="75">
        <v>369</v>
      </c>
      <c r="M31" s="75">
        <v>621</v>
      </c>
      <c r="N31" s="75">
        <v>818</v>
      </c>
      <c r="O31" s="75">
        <v>882</v>
      </c>
      <c r="P31" s="75">
        <v>545</v>
      </c>
      <c r="Q31" s="75">
        <v>399</v>
      </c>
      <c r="R31" s="75">
        <v>374</v>
      </c>
      <c r="S31" s="75">
        <v>366</v>
      </c>
      <c r="T31" s="75">
        <v>387</v>
      </c>
      <c r="U31" s="75">
        <v>400</v>
      </c>
      <c r="V31" s="75">
        <v>254</v>
      </c>
      <c r="W31" s="121">
        <v>278</v>
      </c>
      <c r="X31" s="121">
        <v>267</v>
      </c>
      <c r="Y31" s="75">
        <v>265</v>
      </c>
      <c r="Z31" s="121">
        <v>157</v>
      </c>
      <c r="AA31" s="121">
        <v>172</v>
      </c>
      <c r="AB31" s="575">
        <v>175</v>
      </c>
      <c r="AC31" s="75">
        <f t="shared" si="6"/>
        <v>1.744186046511631</v>
      </c>
      <c r="AD31" s="75">
        <f t="shared" si="7"/>
        <v>-34.456928838951306</v>
      </c>
      <c r="AF31" s="75">
        <v>267</v>
      </c>
      <c r="AG31" s="575">
        <v>175</v>
      </c>
      <c r="AH31" s="75">
        <f t="shared" si="8"/>
        <v>-34.456928838951306</v>
      </c>
      <c r="AI31" s="121">
        <f t="shared" si="9"/>
        <v>278</v>
      </c>
      <c r="AJ31" s="122">
        <f t="shared" si="10"/>
        <v>172</v>
      </c>
      <c r="AK31" s="121">
        <f t="shared" si="11"/>
        <v>-38.12949640287769</v>
      </c>
      <c r="AL31" s="18"/>
      <c r="AM31" s="18"/>
    </row>
    <row r="32" spans="3:39" ht="32.25" customHeight="1">
      <c r="C32" s="593" t="s">
        <v>428</v>
      </c>
      <c r="D32" s="593">
        <v>129</v>
      </c>
      <c r="E32" s="75">
        <v>113</v>
      </c>
      <c r="F32" s="75">
        <v>74</v>
      </c>
      <c r="G32" s="75">
        <v>63</v>
      </c>
      <c r="H32" s="121">
        <f t="shared" si="5"/>
        <v>46</v>
      </c>
      <c r="J32" s="75">
        <v>151</v>
      </c>
      <c r="K32" s="75">
        <v>146</v>
      </c>
      <c r="L32" s="75">
        <v>138</v>
      </c>
      <c r="M32" s="75">
        <v>113</v>
      </c>
      <c r="N32" s="75">
        <v>94</v>
      </c>
      <c r="O32" s="75">
        <v>75</v>
      </c>
      <c r="P32" s="75">
        <v>74</v>
      </c>
      <c r="Q32" s="75">
        <v>74</v>
      </c>
      <c r="R32" s="75">
        <v>76</v>
      </c>
      <c r="S32" s="75">
        <v>69</v>
      </c>
      <c r="T32" s="75">
        <v>59</v>
      </c>
      <c r="U32" s="75">
        <v>63</v>
      </c>
      <c r="V32" s="75">
        <v>62</v>
      </c>
      <c r="W32" s="75">
        <v>60</v>
      </c>
      <c r="X32" s="75">
        <v>56</v>
      </c>
      <c r="Y32" s="75">
        <v>46</v>
      </c>
      <c r="Z32" s="121">
        <v>46</v>
      </c>
      <c r="AA32" s="121">
        <v>46</v>
      </c>
      <c r="AB32" s="575">
        <v>46</v>
      </c>
      <c r="AC32" s="75">
        <f t="shared" si="6"/>
        <v>0</v>
      </c>
      <c r="AD32" s="75">
        <f t="shared" si="7"/>
        <v>-17.85714285714286</v>
      </c>
      <c r="AF32" s="75">
        <v>56</v>
      </c>
      <c r="AG32" s="575">
        <v>46</v>
      </c>
      <c r="AH32" s="75">
        <f t="shared" si="8"/>
        <v>-17.85714285714286</v>
      </c>
      <c r="AI32" s="121">
        <f t="shared" si="9"/>
        <v>60</v>
      </c>
      <c r="AJ32" s="122">
        <f t="shared" si="10"/>
        <v>46</v>
      </c>
      <c r="AK32" s="121">
        <f t="shared" si="11"/>
        <v>-23.33333333333333</v>
      </c>
      <c r="AL32" s="18"/>
      <c r="AM32" s="18"/>
    </row>
    <row r="33" spans="3:39" ht="15">
      <c r="C33" s="94" t="s">
        <v>35</v>
      </c>
      <c r="D33" s="75">
        <v>108</v>
      </c>
      <c r="E33" s="75">
        <v>98</v>
      </c>
      <c r="F33" s="75">
        <v>82</v>
      </c>
      <c r="G33" s="75">
        <v>56</v>
      </c>
      <c r="H33" s="121">
        <f t="shared" si="5"/>
        <v>33</v>
      </c>
      <c r="J33" s="75">
        <v>123</v>
      </c>
      <c r="K33" s="75">
        <v>125</v>
      </c>
      <c r="L33" s="75">
        <v>151</v>
      </c>
      <c r="M33" s="75">
        <v>98</v>
      </c>
      <c r="N33" s="75">
        <v>88</v>
      </c>
      <c r="O33" s="75">
        <v>84</v>
      </c>
      <c r="P33" s="75">
        <v>87</v>
      </c>
      <c r="Q33" s="75">
        <v>82</v>
      </c>
      <c r="R33" s="75">
        <v>48</v>
      </c>
      <c r="S33" s="75">
        <v>68</v>
      </c>
      <c r="T33" s="75">
        <v>66</v>
      </c>
      <c r="U33" s="75">
        <v>56</v>
      </c>
      <c r="V33" s="75">
        <v>59</v>
      </c>
      <c r="W33" s="75">
        <v>49</v>
      </c>
      <c r="X33" s="75">
        <v>44</v>
      </c>
      <c r="Y33" s="75">
        <v>26</v>
      </c>
      <c r="Z33" s="121">
        <v>23</v>
      </c>
      <c r="AA33" s="121">
        <v>34</v>
      </c>
      <c r="AB33" s="575">
        <v>33</v>
      </c>
      <c r="AC33" s="75">
        <f t="shared" si="6"/>
        <v>-2.941176470588236</v>
      </c>
      <c r="AD33" s="75">
        <f t="shared" si="7"/>
        <v>-25</v>
      </c>
      <c r="AF33" s="75">
        <v>44</v>
      </c>
      <c r="AG33" s="575">
        <v>33</v>
      </c>
      <c r="AH33" s="75">
        <f t="shared" si="8"/>
        <v>-25</v>
      </c>
      <c r="AI33" s="121">
        <f t="shared" si="9"/>
        <v>49</v>
      </c>
      <c r="AJ33" s="122">
        <f t="shared" si="10"/>
        <v>34</v>
      </c>
      <c r="AK33" s="121">
        <f t="shared" si="11"/>
        <v>-30.612244897959183</v>
      </c>
      <c r="AL33" s="18"/>
      <c r="AM33" s="18"/>
    </row>
    <row r="34" spans="2:37" s="18" customFormat="1" ht="15">
      <c r="B34" s="18" t="s">
        <v>212</v>
      </c>
      <c r="C34" s="31"/>
      <c r="D34" s="17">
        <v>288</v>
      </c>
      <c r="E34" s="17">
        <v>203</v>
      </c>
      <c r="F34" s="17">
        <v>133</v>
      </c>
      <c r="G34" s="17">
        <v>94</v>
      </c>
      <c r="H34" s="17">
        <f t="shared" si="5"/>
        <v>51</v>
      </c>
      <c r="I34" s="17"/>
      <c r="J34" s="17">
        <v>305</v>
      </c>
      <c r="K34" s="17">
        <v>213</v>
      </c>
      <c r="L34" s="17">
        <v>233</v>
      </c>
      <c r="M34" s="17">
        <v>203</v>
      </c>
      <c r="N34" s="17">
        <v>207</v>
      </c>
      <c r="O34" s="17">
        <v>200</v>
      </c>
      <c r="P34" s="17">
        <v>189</v>
      </c>
      <c r="Q34" s="17">
        <v>133</v>
      </c>
      <c r="R34" s="17">
        <v>111</v>
      </c>
      <c r="S34" s="17">
        <v>112</v>
      </c>
      <c r="T34" s="17">
        <v>106</v>
      </c>
      <c r="U34" s="17">
        <v>94</v>
      </c>
      <c r="V34" s="17">
        <v>97</v>
      </c>
      <c r="W34" s="17">
        <v>69</v>
      </c>
      <c r="X34" s="17">
        <v>69</v>
      </c>
      <c r="Y34" s="17">
        <v>53</v>
      </c>
      <c r="Z34" s="17">
        <f>SUM(Z35:Z36)</f>
        <v>53</v>
      </c>
      <c r="AA34" s="17">
        <f>SUM(AA35:AA36)</f>
        <v>51</v>
      </c>
      <c r="AB34" s="572">
        <f>SUM(AB35:AB36)</f>
        <v>51</v>
      </c>
      <c r="AC34" s="17">
        <f t="shared" si="6"/>
        <v>0</v>
      </c>
      <c r="AD34" s="17">
        <f t="shared" si="7"/>
        <v>-26.086956521739136</v>
      </c>
      <c r="AE34" s="15"/>
      <c r="AF34" s="17">
        <v>69</v>
      </c>
      <c r="AG34" s="572">
        <f>SUM(AG35:AG36)</f>
        <v>51</v>
      </c>
      <c r="AH34" s="17">
        <f t="shared" si="8"/>
        <v>-26.086956521739136</v>
      </c>
      <c r="AI34" s="17">
        <f t="shared" si="9"/>
        <v>69</v>
      </c>
      <c r="AJ34" s="125">
        <f>SUM(AJ35:AJ36)</f>
        <v>51</v>
      </c>
      <c r="AK34" s="17">
        <f t="shared" si="11"/>
        <v>-26.086956521739136</v>
      </c>
    </row>
    <row r="35" spans="2:39" ht="15">
      <c r="B35" s="18"/>
      <c r="C35" s="36" t="s">
        <v>78</v>
      </c>
      <c r="D35" s="75">
        <v>236</v>
      </c>
      <c r="E35" s="75">
        <v>106</v>
      </c>
      <c r="F35" s="75">
        <v>6</v>
      </c>
      <c r="G35" s="75">
        <v>3</v>
      </c>
      <c r="H35" s="121">
        <f t="shared" si="5"/>
        <v>3</v>
      </c>
      <c r="J35" s="75">
        <v>251</v>
      </c>
      <c r="K35" s="75">
        <v>134</v>
      </c>
      <c r="L35" s="75">
        <v>131</v>
      </c>
      <c r="M35" s="75">
        <v>106</v>
      </c>
      <c r="N35" s="75">
        <v>104</v>
      </c>
      <c r="O35" s="75">
        <v>80</v>
      </c>
      <c r="P35" s="75">
        <v>77</v>
      </c>
      <c r="Q35" s="75">
        <v>6</v>
      </c>
      <c r="R35" s="75">
        <v>6</v>
      </c>
      <c r="S35" s="75">
        <v>3</v>
      </c>
      <c r="T35" s="75">
        <v>3</v>
      </c>
      <c r="U35" s="75">
        <v>3</v>
      </c>
      <c r="V35" s="75">
        <v>4</v>
      </c>
      <c r="W35" s="75">
        <v>4</v>
      </c>
      <c r="X35" s="75">
        <v>4</v>
      </c>
      <c r="Y35" s="75">
        <v>4</v>
      </c>
      <c r="Z35" s="121">
        <v>4</v>
      </c>
      <c r="AA35" s="121">
        <v>3</v>
      </c>
      <c r="AB35" s="575">
        <v>3</v>
      </c>
      <c r="AC35" s="75">
        <f t="shared" si="6"/>
        <v>0</v>
      </c>
      <c r="AD35" s="75">
        <f t="shared" si="7"/>
        <v>-25</v>
      </c>
      <c r="AF35" s="75">
        <v>4</v>
      </c>
      <c r="AG35" s="575">
        <v>3</v>
      </c>
      <c r="AH35" s="75">
        <f>IF(AND(AG35=0,AF35=0),0,IF(OR(AND(AG35&gt;0,AF35&lt;=0),AND(AG35&lt;0,AF35&gt;=0)),"nm",IF(AND(AG35&lt;0,AF35&lt;0),IF(-(AG35/AF35-1)*100&lt;-100,"(&gt;100)",-(AG35/AF35-1)*100),IF((AG35/AF35-1)*100&gt;100,"&gt;100",(AG35/AF35-1)*100))))</f>
        <v>-25</v>
      </c>
      <c r="AI35" s="121">
        <f t="shared" si="9"/>
        <v>4</v>
      </c>
      <c r="AJ35" s="122">
        <f t="shared" si="10"/>
        <v>3</v>
      </c>
      <c r="AK35" s="121">
        <f>IF(AND(AJ35=0,AI35=0),0,IF(OR(AND(AJ35&gt;0,AI35&lt;=0),AND(AJ35&lt;0,AI35&gt;=0)),"nm",IF(AND(AJ35&lt;0,AI35&lt;0),IF(-(AJ35/AI35-1)*100&lt;-100,"(&gt;100)",-(AJ35/AI35-1)*100),IF((AJ35/AI35-1)*100&gt;100,"&gt;100",(AJ35/AI35-1)*100))))</f>
        <v>-25</v>
      </c>
      <c r="AL35" s="18"/>
      <c r="AM35" s="18"/>
    </row>
    <row r="36" spans="2:39" ht="15">
      <c r="B36" s="18"/>
      <c r="C36" s="36" t="s">
        <v>79</v>
      </c>
      <c r="D36" s="75">
        <v>52</v>
      </c>
      <c r="E36" s="75">
        <v>97</v>
      </c>
      <c r="F36" s="75">
        <v>127</v>
      </c>
      <c r="G36" s="75">
        <v>91</v>
      </c>
      <c r="H36" s="121">
        <f t="shared" si="5"/>
        <v>48</v>
      </c>
      <c r="J36" s="75">
        <v>54</v>
      </c>
      <c r="K36" s="75">
        <v>79</v>
      </c>
      <c r="L36" s="75">
        <v>102</v>
      </c>
      <c r="M36" s="75">
        <v>97</v>
      </c>
      <c r="N36" s="75">
        <v>103</v>
      </c>
      <c r="O36" s="75">
        <v>120</v>
      </c>
      <c r="P36" s="75">
        <v>112</v>
      </c>
      <c r="Q36" s="75">
        <v>127</v>
      </c>
      <c r="R36" s="75">
        <v>105</v>
      </c>
      <c r="S36" s="75">
        <v>109</v>
      </c>
      <c r="T36" s="75">
        <v>103</v>
      </c>
      <c r="U36" s="75">
        <v>91</v>
      </c>
      <c r="V36" s="75">
        <v>93</v>
      </c>
      <c r="W36" s="75">
        <v>65</v>
      </c>
      <c r="X36" s="75">
        <v>65</v>
      </c>
      <c r="Y36" s="75">
        <v>49</v>
      </c>
      <c r="Z36" s="121">
        <v>49</v>
      </c>
      <c r="AA36" s="121">
        <v>48</v>
      </c>
      <c r="AB36" s="575">
        <v>48</v>
      </c>
      <c r="AC36" s="75">
        <f t="shared" si="6"/>
        <v>0</v>
      </c>
      <c r="AD36" s="75">
        <f t="shared" si="7"/>
        <v>-26.15384615384615</v>
      </c>
      <c r="AF36" s="75">
        <v>65</v>
      </c>
      <c r="AG36" s="575">
        <v>48</v>
      </c>
      <c r="AH36" s="75">
        <f>IF(AND(AG36=0,AF36=0),0,IF(OR(AND(AG36&gt;0,AF36&lt;=0),AND(AG36&lt;0,AF36&gt;=0)),"nm",IF(AND(AG36&lt;0,AF36&lt;0),IF(-(AG36/AF36-1)*100&lt;-100,"(&gt;100)",-(AG36/AF36-1)*100),IF((AG36/AF36-1)*100&gt;100,"&gt;100",(AG36/AF36-1)*100))))</f>
        <v>-26.15384615384615</v>
      </c>
      <c r="AI36" s="121">
        <f t="shared" si="9"/>
        <v>65</v>
      </c>
      <c r="AJ36" s="122">
        <f t="shared" si="10"/>
        <v>48</v>
      </c>
      <c r="AK36" s="121">
        <f>IF(AND(AJ36=0,AI36=0),0,IF(OR(AND(AJ36&gt;0,AI36&lt;=0),AND(AJ36&lt;0,AI36&gt;=0)),"nm",IF(AND(AJ36&lt;0,AI36&lt;0),IF(-(AJ36/AI36-1)*100&lt;-100,"(&gt;100)",-(AJ36/AI36-1)*100),IF((AJ36/AI36-1)*100&gt;100,"&gt;100",(AJ36/AI36-1)*100))))</f>
        <v>-26.15384615384615</v>
      </c>
      <c r="AL36" s="18"/>
      <c r="AM36" s="18"/>
    </row>
    <row r="37" spans="1:39" ht="15">
      <c r="A37" s="18"/>
      <c r="B37" s="36"/>
      <c r="C37" s="22"/>
      <c r="D37" s="75"/>
      <c r="H37" s="121"/>
      <c r="Z37" s="436"/>
      <c r="AA37" s="121"/>
      <c r="AB37" s="575"/>
      <c r="AG37" s="575"/>
      <c r="AL37" s="18"/>
      <c r="AM37" s="18"/>
    </row>
    <row r="38" spans="1:39" ht="15">
      <c r="A38" s="46" t="s">
        <v>211</v>
      </c>
      <c r="B38" s="36"/>
      <c r="C38" s="22"/>
      <c r="D38" s="75"/>
      <c r="H38" s="121"/>
      <c r="Z38" s="436"/>
      <c r="AA38" s="121"/>
      <c r="AB38" s="575"/>
      <c r="AG38" s="575"/>
      <c r="AL38" s="18"/>
      <c r="AM38" s="18"/>
    </row>
    <row r="39" spans="1:37" s="18" customFormat="1" ht="15">
      <c r="A39" s="18" t="s">
        <v>213</v>
      </c>
      <c r="C39" s="32"/>
      <c r="D39" s="17">
        <f>D40+D51</f>
        <v>1524</v>
      </c>
      <c r="E39" s="17">
        <f>E40+E51</f>
        <v>1672</v>
      </c>
      <c r="F39" s="17">
        <v>1852</v>
      </c>
      <c r="G39" s="17">
        <v>2339</v>
      </c>
      <c r="H39" s="17">
        <f>AG39</f>
        <v>2800</v>
      </c>
      <c r="I39" s="17"/>
      <c r="J39" s="17">
        <v>1727</v>
      </c>
      <c r="K39" s="17">
        <f>K40+K51</f>
        <v>1899</v>
      </c>
      <c r="L39" s="17">
        <v>1901</v>
      </c>
      <c r="M39" s="17">
        <v>1672</v>
      </c>
      <c r="N39" s="17">
        <v>1688</v>
      </c>
      <c r="O39" s="17">
        <v>1809</v>
      </c>
      <c r="P39" s="17">
        <v>1820</v>
      </c>
      <c r="Q39" s="17">
        <v>1852</v>
      </c>
      <c r="R39" s="17">
        <v>1903</v>
      </c>
      <c r="S39" s="17">
        <v>1991</v>
      </c>
      <c r="T39" s="17">
        <v>2208</v>
      </c>
      <c r="U39" s="17">
        <v>2339</v>
      </c>
      <c r="V39" s="17">
        <v>2400</v>
      </c>
      <c r="W39" s="17">
        <v>2469</v>
      </c>
      <c r="X39" s="17">
        <v>2462</v>
      </c>
      <c r="Y39" s="17">
        <v>2511</v>
      </c>
      <c r="Z39" s="17">
        <v>2625</v>
      </c>
      <c r="AA39" s="17">
        <f>+AA40+AA51</f>
        <v>2750</v>
      </c>
      <c r="AB39" s="572">
        <f>+AB40+AB51</f>
        <v>2800</v>
      </c>
      <c r="AC39" s="312">
        <f>IF(AND(AB39=0,AB39=0),0,IF(OR(AND(AB39&gt;0,AA39&lt;=0),AND(AB39&lt;0,AA39&gt;=0)),"nm",IF(AND(AB39&lt;0,AA39&lt;0),IF(-(AB39/AA39-1)*100&lt;-100,"(&gt;100)",-(AB39/AA39-1)*100),IF((AB39/AA39-1)*100&gt;100,"&gt;100",(AB39/AA39-1)*100))))</f>
        <v>1.8181818181818077</v>
      </c>
      <c r="AD39" s="312">
        <f>IF(AND(AB39=0,X39=0),0,IF(OR(AND(AB39&gt;0,X39&lt;=0),AND(AB39&lt;0,X39&gt;=0)),"nm",IF(AND(AB39&lt;0,X39&lt;0),IF(-(AB39/X39-1)*100&lt;-100,"(&gt;100)",-(AB39/X39-1)*100),IF((AB39/X39-1)*100&gt;100,"&gt;100",(AB39/X39-1)*100))))</f>
        <v>13.728675873273755</v>
      </c>
      <c r="AE39" s="313"/>
      <c r="AF39" s="312">
        <v>2462</v>
      </c>
      <c r="AG39" s="572">
        <f>+AG40+AG51</f>
        <v>2800</v>
      </c>
      <c r="AH39" s="17">
        <f>IF(AND(AG39=0,AF39=0),0,IF(OR(AND(AG39&gt;0,AF39&lt;=0),AND(AG39&lt;0,AF39&gt;=0)),"nm",IF(AND(AG39&lt;0,AF39&lt;0),IF(-(AG39/AF39-1)*100&lt;-100,"(&gt;100)",-(AG39/AF39-1)*100),IF((AG39/AF39-1)*100&gt;100,"&gt;100",(AG39/AF39-1)*100))))</f>
        <v>13.728675873273755</v>
      </c>
      <c r="AI39" s="312">
        <f>+W39</f>
        <v>2469</v>
      </c>
      <c r="AJ39" s="125">
        <f>AJ40+AJ51</f>
        <v>2750</v>
      </c>
      <c r="AK39" s="17">
        <f>IF(AND(AJ39=0,AI39=0),0,IF(OR(AND(AJ39&gt;0,AI39&lt;=0),AND(AJ39&lt;0,AI39&gt;=0)),"nm",IF(AND(AJ39&lt;0,AI39&lt;0),IF(-(AJ39/AI39-1)*100&lt;-100,"(&gt;100)",-(AJ39/AI39-1)*100),IF((AJ39/AI39-1)*100&gt;100,"&gt;100",(AJ39/AI39-1)*100))))</f>
        <v>11.381125961927907</v>
      </c>
    </row>
    <row r="40" spans="2:37" s="18" customFormat="1" ht="15">
      <c r="B40" s="18" t="s">
        <v>214</v>
      </c>
      <c r="D40" s="17">
        <v>1016</v>
      </c>
      <c r="E40" s="17">
        <v>1325</v>
      </c>
      <c r="F40" s="17">
        <v>1476</v>
      </c>
      <c r="G40" s="17">
        <v>1919</v>
      </c>
      <c r="H40" s="17">
        <f>AG40</f>
        <v>2360</v>
      </c>
      <c r="I40" s="17"/>
      <c r="J40" s="17">
        <v>1176</v>
      </c>
      <c r="K40" s="17">
        <v>1346</v>
      </c>
      <c r="L40" s="17">
        <v>1341</v>
      </c>
      <c r="M40" s="17">
        <v>1325</v>
      </c>
      <c r="N40" s="17">
        <v>1339</v>
      </c>
      <c r="O40" s="17">
        <v>1433</v>
      </c>
      <c r="P40" s="17">
        <v>1449</v>
      </c>
      <c r="Q40" s="17">
        <v>1476</v>
      </c>
      <c r="R40" s="17">
        <v>1539</v>
      </c>
      <c r="S40" s="17">
        <v>1628</v>
      </c>
      <c r="T40" s="17">
        <v>1807</v>
      </c>
      <c r="U40" s="17">
        <v>1919</v>
      </c>
      <c r="V40" s="17">
        <v>1979</v>
      </c>
      <c r="W40" s="17">
        <v>2047</v>
      </c>
      <c r="X40" s="17">
        <v>2053</v>
      </c>
      <c r="Y40" s="17">
        <v>2092</v>
      </c>
      <c r="Z40" s="17">
        <f>SUM(Z42:Z43)</f>
        <v>2189</v>
      </c>
      <c r="AA40" s="17">
        <f>SUM(AA42:AA43)</f>
        <v>2320</v>
      </c>
      <c r="AB40" s="572">
        <f>SUM(AB42:AB43)</f>
        <v>2360</v>
      </c>
      <c r="AC40" s="312">
        <f>IF(AND(AB40=0,AB40=0),0,IF(OR(AND(AB40&gt;0,AA40&lt;=0),AND(AB40&lt;0,AA40&gt;=0)),"nm",IF(AND(AB40&lt;0,AA40&lt;0),IF(-(AB40/AA40-1)*100&lt;-100,"(&gt;100)",-(AB40/AA40-1)*100),IF((AB40/AA40-1)*100&gt;100,"&gt;100",(AB40/AA40-1)*100))))</f>
        <v>1.724137931034475</v>
      </c>
      <c r="AD40" s="312">
        <f>IF(AND(AB40=0,X40=0),0,IF(OR(AND(AB40&gt;0,X40&lt;=0),AND(AB40&lt;0,X40&gt;=0)),"nm",IF(AND(AB40&lt;0,X40&lt;0),IF(-(AB40/X40-1)*100&lt;-100,"(&gt;100)",-(AB40/X40-1)*100),IF((AB40/X40-1)*100&gt;100,"&gt;100",(AB40/X40-1)*100))))</f>
        <v>14.953726254262056</v>
      </c>
      <c r="AE40" s="313"/>
      <c r="AF40" s="312">
        <v>2053</v>
      </c>
      <c r="AG40" s="572">
        <f>SUM(AG42:AG43)</f>
        <v>2360</v>
      </c>
      <c r="AH40" s="17">
        <f>IF(AND(AG40=0,AF40=0),0,IF(OR(AND(AG40&gt;0,AF40&lt;=0),AND(AG40&lt;0,AF40&gt;=0)),"nm",IF(AND(AG40&lt;0,AF40&lt;0),IF(-(AG40/AF40-1)*100&lt;-100,"(&gt;100)",-(AG40/AF40-1)*100),IF((AG40/AF40-1)*100&gt;100,"&gt;100",(AG40/AF40-1)*100))))</f>
        <v>14.953726254262056</v>
      </c>
      <c r="AI40" s="312">
        <f>+W40</f>
        <v>2047</v>
      </c>
      <c r="AJ40" s="125">
        <f>SUM(AJ42:AJ43)</f>
        <v>2320</v>
      </c>
      <c r="AK40" s="17">
        <f>IF(AND(AJ40=0,AI40=0),0,IF(OR(AND(AJ40&gt;0,AI40&lt;=0),AND(AJ40&lt;0,AI40&gt;=0)),"nm",IF(AND(AJ40&lt;0,AI40&lt;0),IF(-(AJ40/AI40-1)*100&lt;-100,"(&gt;100)",-(AJ40/AI40-1)*100),IF((AJ40/AI40-1)*100&gt;100,"&gt;100",(AJ40/AI40-1)*100))))</f>
        <v>13.336590131900339</v>
      </c>
    </row>
    <row r="41" spans="2:39" ht="15">
      <c r="B41" s="91" t="s">
        <v>82</v>
      </c>
      <c r="C41" s="22"/>
      <c r="D41" s="75"/>
      <c r="H41" s="121"/>
      <c r="Z41" s="121"/>
      <c r="AA41" s="121"/>
      <c r="AB41" s="575"/>
      <c r="AG41" s="575"/>
      <c r="AL41" s="18"/>
      <c r="AM41" s="18"/>
    </row>
    <row r="42" spans="2:39" ht="15">
      <c r="B42" s="31"/>
      <c r="C42" s="22" t="s">
        <v>376</v>
      </c>
      <c r="D42" s="75">
        <v>383</v>
      </c>
      <c r="E42" s="75">
        <v>440</v>
      </c>
      <c r="F42" s="75">
        <v>502</v>
      </c>
      <c r="G42" s="75">
        <v>545</v>
      </c>
      <c r="H42" s="121">
        <f>AG42</f>
        <v>688</v>
      </c>
      <c r="J42" s="75">
        <v>398</v>
      </c>
      <c r="K42" s="75">
        <v>399</v>
      </c>
      <c r="L42" s="75">
        <v>406</v>
      </c>
      <c r="M42" s="75">
        <v>440</v>
      </c>
      <c r="N42" s="75">
        <v>459</v>
      </c>
      <c r="O42" s="75">
        <v>482</v>
      </c>
      <c r="P42" s="75">
        <v>490</v>
      </c>
      <c r="Q42" s="75">
        <v>502</v>
      </c>
      <c r="R42" s="75">
        <v>510</v>
      </c>
      <c r="S42" s="75">
        <v>529</v>
      </c>
      <c r="T42" s="75">
        <v>534</v>
      </c>
      <c r="U42" s="75">
        <v>545</v>
      </c>
      <c r="V42" s="75">
        <v>561</v>
      </c>
      <c r="W42" s="75">
        <v>586</v>
      </c>
      <c r="X42" s="75">
        <v>600</v>
      </c>
      <c r="Y42" s="75">
        <v>617</v>
      </c>
      <c r="Z42" s="121">
        <v>634</v>
      </c>
      <c r="AA42" s="121">
        <v>661</v>
      </c>
      <c r="AB42" s="575">
        <v>688</v>
      </c>
      <c r="AC42" s="75">
        <f>IF(AND(AB42=0,AB42=0),0,IF(OR(AND(AB42&gt;0,AA42&lt;=0),AND(AB42&lt;0,AA42&gt;=0)),"nm",IF(AND(AB42&lt;0,AA42&lt;0),IF(-(AB42/AA42-1)*100&lt;-100,"(&gt;100)",-(AB42/AA42-1)*100),IF((AB42/AA42-1)*100&gt;100,"&gt;100",(AB42/AA42-1)*100))))</f>
        <v>4.08472012102874</v>
      </c>
      <c r="AD42" s="75">
        <f>IF(AND(AB42=0,X42=0),0,IF(OR(AND(AB42&gt;0,X42&lt;=0),AND(AB42&lt;0,X42&gt;=0)),"nm",IF(AND(AB42&lt;0,X42&lt;0),IF(-(AB42/X42-1)*100&lt;-100,"(&gt;100)",-(AB42/X42-1)*100),IF((AB42/X42-1)*100&gt;100,"&gt;100",(AB42/X42-1)*100))))</f>
        <v>14.666666666666671</v>
      </c>
      <c r="AF42" s="75">
        <v>600</v>
      </c>
      <c r="AG42" s="575">
        <v>688</v>
      </c>
      <c r="AH42" s="75">
        <f>IF(AND(AG42=0,AF42=0),0,IF(OR(AND(AG42&gt;0,AF42&lt;=0),AND(AG42&lt;0,AF42&gt;=0)),"nm",IF(AND(AG42&lt;0,AF42&lt;0),IF(-(AG42/AF42-1)*100&lt;-100,"(&gt;100)",-(AG42/AF42-1)*100),IF((AG42/AF42-1)*100&gt;100,"&gt;100",(AG42/AF42-1)*100))))</f>
        <v>14.666666666666671</v>
      </c>
      <c r="AI42" s="121">
        <f>+W42</f>
        <v>586</v>
      </c>
      <c r="AJ42" s="122">
        <f>AA42</f>
        <v>661</v>
      </c>
      <c r="AK42" s="121">
        <f>IF(AND(AJ42=0,AI42=0),0,IF(OR(AND(AJ42&gt;0,AI42&lt;=0),AND(AJ42&lt;0,AI42&gt;=0)),"nm",IF(AND(AJ42&lt;0,AI42&lt;0),IF(-(AJ42/AI42-1)*100&lt;-100,"(&gt;100)",-(AJ42/AI42-1)*100),IF((AJ42/AI42-1)*100&gt;100,"&gt;100",(AJ42/AI42-1)*100))))</f>
        <v>12.798634812286691</v>
      </c>
      <c r="AL42" s="18"/>
      <c r="AM42" s="18"/>
    </row>
    <row r="43" spans="2:39" ht="15">
      <c r="B43" s="31"/>
      <c r="C43" s="22" t="s">
        <v>331</v>
      </c>
      <c r="D43" s="75">
        <v>633</v>
      </c>
      <c r="E43" s="75">
        <v>885</v>
      </c>
      <c r="F43" s="75">
        <v>974</v>
      </c>
      <c r="G43" s="75">
        <v>1374</v>
      </c>
      <c r="H43" s="121">
        <f>AG43</f>
        <v>1672</v>
      </c>
      <c r="J43" s="75">
        <v>778</v>
      </c>
      <c r="K43" s="75">
        <v>947</v>
      </c>
      <c r="L43" s="75">
        <v>935</v>
      </c>
      <c r="M43" s="75">
        <v>885</v>
      </c>
      <c r="N43" s="75">
        <v>880</v>
      </c>
      <c r="O43" s="75">
        <v>951</v>
      </c>
      <c r="P43" s="75">
        <v>959</v>
      </c>
      <c r="Q43" s="75">
        <v>974</v>
      </c>
      <c r="R43" s="75">
        <v>1029</v>
      </c>
      <c r="S43" s="75">
        <v>1099</v>
      </c>
      <c r="T43" s="75">
        <v>1273</v>
      </c>
      <c r="U43" s="75">
        <v>1374</v>
      </c>
      <c r="V43" s="75">
        <v>1418</v>
      </c>
      <c r="W43" s="75">
        <v>1461</v>
      </c>
      <c r="X43" s="75">
        <v>1453</v>
      </c>
      <c r="Y43" s="75">
        <v>1475</v>
      </c>
      <c r="Z43" s="121">
        <v>1555</v>
      </c>
      <c r="AA43" s="121">
        <v>1659</v>
      </c>
      <c r="AB43" s="575">
        <v>1672</v>
      </c>
      <c r="AC43" s="75">
        <f>IF(AND(AB43=0,AB43=0),0,IF(OR(AND(AB43&gt;0,AA43&lt;=0),AND(AB43&lt;0,AA43&gt;=0)),"nm",IF(AND(AB43&lt;0,AA43&lt;0),IF(-(AB43/AA43-1)*100&lt;-100,"(&gt;100)",-(AB43/AA43-1)*100),IF((AB43/AA43-1)*100&gt;100,"&gt;100",(AB43/AA43-1)*100))))</f>
        <v>0.7836045810729386</v>
      </c>
      <c r="AD43" s="75">
        <f>IF(AND(AB43=0,X43=0),0,IF(OR(AND(AB43&gt;0,X43&lt;=0),AND(AB43&lt;0,X43&gt;=0)),"nm",IF(AND(AB43&lt;0,X43&lt;0),IF(-(AB43/X43-1)*100&lt;-100,"(&gt;100)",-(AB43/X43-1)*100),IF((AB43/X43-1)*100&gt;100,"&gt;100",(AB43/X43-1)*100))))</f>
        <v>15.072264280798354</v>
      </c>
      <c r="AF43" s="75">
        <v>1453</v>
      </c>
      <c r="AG43" s="575">
        <v>1672</v>
      </c>
      <c r="AH43" s="75">
        <f>IF(AND(AG43=0,AF43=0),0,IF(OR(AND(AG43&gt;0,AF43&lt;=0),AND(AG43&lt;0,AF43&gt;=0)),"nm",IF(AND(AG43&lt;0,AF43&lt;0),IF(-(AG43/AF43-1)*100&lt;-100,"(&gt;100)",-(AG43/AF43-1)*100),IF((AG43/AF43-1)*100&gt;100,"&gt;100",(AG43/AF43-1)*100))))</f>
        <v>15.072264280798354</v>
      </c>
      <c r="AI43" s="121">
        <f>+W43</f>
        <v>1461</v>
      </c>
      <c r="AJ43" s="122">
        <f>AA43</f>
        <v>1659</v>
      </c>
      <c r="AK43" s="121">
        <f>IF(AND(AJ43=0,AI43=0),0,IF(OR(AND(AJ43&gt;0,AI43&lt;=0),AND(AJ43&lt;0,AI43&gt;=0)),"nm",IF(AND(AJ43&lt;0,AI43&lt;0),IF(-(AJ43/AI43-1)*100&lt;-100,"(&gt;100)",-(AJ43/AI43-1)*100),IF((AJ43/AI43-1)*100&gt;100,"&gt;100",(AJ43/AI43-1)*100))))</f>
        <v>13.55236139630389</v>
      </c>
      <c r="AL43" s="18"/>
      <c r="AM43" s="18"/>
    </row>
    <row r="44" spans="2:39" ht="9.75" customHeight="1" hidden="1">
      <c r="B44" s="36"/>
      <c r="C44" s="92"/>
      <c r="D44" s="75"/>
      <c r="H44" s="121"/>
      <c r="Z44" s="121"/>
      <c r="AA44" s="121"/>
      <c r="AB44" s="575"/>
      <c r="AG44" s="575"/>
      <c r="AL44" s="18"/>
      <c r="AM44" s="18"/>
    </row>
    <row r="45" spans="2:39" ht="15">
      <c r="B45" s="58" t="s">
        <v>81</v>
      </c>
      <c r="C45" s="22"/>
      <c r="D45" s="75"/>
      <c r="H45" s="121"/>
      <c r="Z45" s="121"/>
      <c r="AA45" s="121"/>
      <c r="AB45" s="575"/>
      <c r="AG45" s="575"/>
      <c r="AL45" s="18"/>
      <c r="AM45" s="18"/>
    </row>
    <row r="46" spans="2:39" ht="15">
      <c r="B46" s="36"/>
      <c r="C46" s="22" t="s">
        <v>48</v>
      </c>
      <c r="D46" s="75">
        <v>316</v>
      </c>
      <c r="E46" s="75">
        <v>546</v>
      </c>
      <c r="F46" s="75">
        <v>613</v>
      </c>
      <c r="G46" s="75">
        <v>749</v>
      </c>
      <c r="H46" s="121">
        <f aca="true" t="shared" si="12" ref="H46:H53">AG46</f>
        <v>967</v>
      </c>
      <c r="J46" s="75">
        <v>359</v>
      </c>
      <c r="K46" s="75">
        <v>573</v>
      </c>
      <c r="L46" s="75">
        <v>564</v>
      </c>
      <c r="M46" s="75">
        <v>546</v>
      </c>
      <c r="N46" s="75">
        <v>559</v>
      </c>
      <c r="O46" s="75">
        <v>588</v>
      </c>
      <c r="P46" s="75">
        <v>611</v>
      </c>
      <c r="Q46" s="75">
        <v>613</v>
      </c>
      <c r="R46" s="75">
        <v>648</v>
      </c>
      <c r="S46" s="75">
        <v>683</v>
      </c>
      <c r="T46" s="75">
        <v>722</v>
      </c>
      <c r="U46" s="75">
        <v>749</v>
      </c>
      <c r="V46" s="75">
        <v>812</v>
      </c>
      <c r="W46" s="75">
        <v>828</v>
      </c>
      <c r="X46" s="75">
        <v>886</v>
      </c>
      <c r="Y46" s="75">
        <v>864</v>
      </c>
      <c r="Z46" s="121">
        <v>912</v>
      </c>
      <c r="AA46" s="121">
        <v>978</v>
      </c>
      <c r="AB46" s="575">
        <v>967</v>
      </c>
      <c r="AC46" s="75">
        <f aca="true" t="shared" si="13" ref="AC46:AC53">IF(AND(AB46=0,AB46=0),0,IF(OR(AND(AB46&gt;0,AA46&lt;=0),AND(AB46&lt;0,AA46&gt;=0)),"nm",IF(AND(AB46&lt;0,AA46&lt;0),IF(-(AB46/AA46-1)*100&lt;-100,"(&gt;100)",-(AB46/AA46-1)*100),IF((AB46/AA46-1)*100&gt;100,"&gt;100",(AB46/AA46-1)*100))))</f>
        <v>-1.1247443762781195</v>
      </c>
      <c r="AD46" s="75">
        <f aca="true" t="shared" si="14" ref="AD46:AD53">IF(AND(AB46=0,X46=0),0,IF(OR(AND(AB46&gt;0,X46&lt;=0),AND(AB46&lt;0,X46&gt;=0)),"nm",IF(AND(AB46&lt;0,X46&lt;0),IF(-(AB46/X46-1)*100&lt;-100,"(&gt;100)",-(AB46/X46-1)*100),IF((AB46/X46-1)*100&gt;100,"&gt;100",(AB46/X46-1)*100))))</f>
        <v>9.142212189616261</v>
      </c>
      <c r="AF46" s="75">
        <v>886</v>
      </c>
      <c r="AG46" s="575">
        <v>967</v>
      </c>
      <c r="AH46" s="75">
        <f aca="true" t="shared" si="15" ref="AH46:AH51">IF(AND(AG46=0,AF46=0),0,IF(OR(AND(AG46&gt;0,AF46&lt;=0),AND(AG46&lt;0,AF46&gt;=0)),"nm",IF(AND(AG46&lt;0,AF46&lt;0),IF(-(AG46/AF46-1)*100&lt;-100,"(&gt;100)",-(AG46/AF46-1)*100),IF((AG46/AF46-1)*100&gt;100,"&gt;100",(AG46/AF46-1)*100))))</f>
        <v>9.142212189616261</v>
      </c>
      <c r="AI46" s="121">
        <f aca="true" t="shared" si="16" ref="AI46:AI53">+W46</f>
        <v>828</v>
      </c>
      <c r="AJ46" s="122">
        <f aca="true" t="shared" si="17" ref="AJ46:AJ53">AA46</f>
        <v>978</v>
      </c>
      <c r="AK46" s="121">
        <f aca="true" t="shared" si="18" ref="AK46:AK51">IF(AND(AJ46=0,AI46=0),0,IF(OR(AND(AJ46&gt;0,AI46&lt;=0),AND(AJ46&lt;0,AI46&gt;=0)),"nm",IF(AND(AJ46&lt;0,AI46&lt;0),IF(-(AJ46/AI46-1)*100&lt;-100,"(&gt;100)",-(AJ46/AI46-1)*100),IF((AJ46/AI46-1)*100&gt;100,"&gt;100",(AJ46/AI46-1)*100))))</f>
        <v>18.1159420289855</v>
      </c>
      <c r="AL46" s="18"/>
      <c r="AM46" s="18"/>
    </row>
    <row r="47" spans="2:39" ht="15">
      <c r="B47" s="36"/>
      <c r="C47" s="93" t="s">
        <v>49</v>
      </c>
      <c r="D47" s="75">
        <v>343</v>
      </c>
      <c r="E47" s="75">
        <v>330</v>
      </c>
      <c r="F47" s="75">
        <v>369</v>
      </c>
      <c r="G47" s="75">
        <v>406</v>
      </c>
      <c r="H47" s="121">
        <f t="shared" si="12"/>
        <v>404</v>
      </c>
      <c r="J47" s="75">
        <v>324</v>
      </c>
      <c r="K47" s="75">
        <v>319</v>
      </c>
      <c r="L47" s="75">
        <v>318</v>
      </c>
      <c r="M47" s="75">
        <v>330</v>
      </c>
      <c r="N47" s="75">
        <v>335</v>
      </c>
      <c r="O47" s="75">
        <v>371</v>
      </c>
      <c r="P47" s="75">
        <v>367</v>
      </c>
      <c r="Q47" s="75">
        <v>369</v>
      </c>
      <c r="R47" s="75">
        <v>368</v>
      </c>
      <c r="S47" s="75">
        <v>372</v>
      </c>
      <c r="T47" s="75">
        <v>409</v>
      </c>
      <c r="U47" s="75">
        <v>406</v>
      </c>
      <c r="V47" s="75">
        <v>388</v>
      </c>
      <c r="W47" s="75">
        <v>398</v>
      </c>
      <c r="X47" s="75">
        <v>387</v>
      </c>
      <c r="Y47" s="75">
        <v>392</v>
      </c>
      <c r="Z47" s="121">
        <v>378</v>
      </c>
      <c r="AA47" s="121">
        <v>380</v>
      </c>
      <c r="AB47" s="575">
        <v>404</v>
      </c>
      <c r="AC47" s="75">
        <f t="shared" si="13"/>
        <v>6.315789473684208</v>
      </c>
      <c r="AD47" s="75">
        <f t="shared" si="14"/>
        <v>4.392764857881137</v>
      </c>
      <c r="AF47" s="75">
        <v>387</v>
      </c>
      <c r="AG47" s="575">
        <v>404</v>
      </c>
      <c r="AH47" s="75">
        <f t="shared" si="15"/>
        <v>4.392764857881137</v>
      </c>
      <c r="AI47" s="121">
        <f t="shared" si="16"/>
        <v>398</v>
      </c>
      <c r="AJ47" s="122">
        <f t="shared" si="17"/>
        <v>380</v>
      </c>
      <c r="AK47" s="121">
        <f t="shared" si="18"/>
        <v>-4.522613065326631</v>
      </c>
      <c r="AL47" s="18"/>
      <c r="AM47" s="18"/>
    </row>
    <row r="48" spans="2:39" ht="15">
      <c r="B48" s="36"/>
      <c r="C48" s="93" t="s">
        <v>76</v>
      </c>
      <c r="D48" s="75">
        <v>117</v>
      </c>
      <c r="E48" s="75">
        <v>121</v>
      </c>
      <c r="F48" s="75">
        <v>145</v>
      </c>
      <c r="G48" s="75">
        <v>323</v>
      </c>
      <c r="H48" s="121">
        <f t="shared" si="12"/>
        <v>486</v>
      </c>
      <c r="J48" s="75">
        <v>115</v>
      </c>
      <c r="K48" s="75">
        <v>109</v>
      </c>
      <c r="L48" s="75">
        <v>113</v>
      </c>
      <c r="M48" s="75">
        <v>121</v>
      </c>
      <c r="N48" s="75">
        <v>126</v>
      </c>
      <c r="O48" s="75">
        <v>125</v>
      </c>
      <c r="P48" s="75">
        <v>123</v>
      </c>
      <c r="Q48" s="75">
        <v>145</v>
      </c>
      <c r="R48" s="75">
        <v>151</v>
      </c>
      <c r="S48" s="75">
        <v>201</v>
      </c>
      <c r="T48" s="75">
        <v>253</v>
      </c>
      <c r="U48" s="75">
        <v>323</v>
      </c>
      <c r="V48" s="75">
        <v>325</v>
      </c>
      <c r="W48" s="75">
        <v>333</v>
      </c>
      <c r="X48" s="75">
        <v>288</v>
      </c>
      <c r="Y48" s="75">
        <v>320</v>
      </c>
      <c r="Z48" s="121">
        <v>388</v>
      </c>
      <c r="AA48" s="121">
        <v>437</v>
      </c>
      <c r="AB48" s="575">
        <v>486</v>
      </c>
      <c r="AC48" s="75">
        <f t="shared" si="13"/>
        <v>11.21281464530892</v>
      </c>
      <c r="AD48" s="75">
        <f t="shared" si="14"/>
        <v>68.75</v>
      </c>
      <c r="AF48" s="75">
        <v>288</v>
      </c>
      <c r="AG48" s="575">
        <v>486</v>
      </c>
      <c r="AH48" s="75">
        <f t="shared" si="15"/>
        <v>68.75</v>
      </c>
      <c r="AI48" s="121">
        <f t="shared" si="16"/>
        <v>333</v>
      </c>
      <c r="AJ48" s="122">
        <f t="shared" si="17"/>
        <v>437</v>
      </c>
      <c r="AK48" s="121">
        <f t="shared" si="18"/>
        <v>31.231231231231238</v>
      </c>
      <c r="AL48" s="18"/>
      <c r="AM48" s="18"/>
    </row>
    <row r="49" spans="2:39" ht="15">
      <c r="B49" s="36"/>
      <c r="C49" s="93" t="s">
        <v>74</v>
      </c>
      <c r="D49" s="75">
        <v>159</v>
      </c>
      <c r="E49" s="75">
        <v>174</v>
      </c>
      <c r="F49" s="75">
        <v>189</v>
      </c>
      <c r="G49" s="75">
        <v>255</v>
      </c>
      <c r="H49" s="121">
        <f t="shared" si="12"/>
        <v>282</v>
      </c>
      <c r="J49" s="75">
        <v>183</v>
      </c>
      <c r="K49" s="75">
        <v>182</v>
      </c>
      <c r="L49" s="75">
        <v>195</v>
      </c>
      <c r="M49" s="75">
        <v>174</v>
      </c>
      <c r="N49" s="75">
        <v>170</v>
      </c>
      <c r="O49" s="75">
        <v>191</v>
      </c>
      <c r="P49" s="75">
        <v>191</v>
      </c>
      <c r="Q49" s="75">
        <v>189</v>
      </c>
      <c r="R49" s="75">
        <v>212</v>
      </c>
      <c r="S49" s="75">
        <v>212</v>
      </c>
      <c r="T49" s="75">
        <v>238</v>
      </c>
      <c r="U49" s="75">
        <v>255</v>
      </c>
      <c r="V49" s="75">
        <v>259</v>
      </c>
      <c r="W49" s="75">
        <v>290</v>
      </c>
      <c r="X49" s="75">
        <v>291</v>
      </c>
      <c r="Y49" s="75">
        <v>302</v>
      </c>
      <c r="Z49" s="121">
        <v>294</v>
      </c>
      <c r="AA49" s="121">
        <v>302</v>
      </c>
      <c r="AB49" s="575">
        <v>282</v>
      </c>
      <c r="AC49" s="75">
        <f t="shared" si="13"/>
        <v>-6.622516556291391</v>
      </c>
      <c r="AD49" s="75">
        <f t="shared" si="14"/>
        <v>-3.0927835051546393</v>
      </c>
      <c r="AF49" s="75">
        <v>291</v>
      </c>
      <c r="AG49" s="575">
        <v>282</v>
      </c>
      <c r="AH49" s="75">
        <f t="shared" si="15"/>
        <v>-3.0927835051546393</v>
      </c>
      <c r="AI49" s="121">
        <f t="shared" si="16"/>
        <v>290</v>
      </c>
      <c r="AJ49" s="122">
        <f t="shared" si="17"/>
        <v>302</v>
      </c>
      <c r="AK49" s="121">
        <f t="shared" si="18"/>
        <v>4.137931034482767</v>
      </c>
      <c r="AL49" s="18"/>
      <c r="AM49" s="18"/>
    </row>
    <row r="50" spans="2:39" ht="15">
      <c r="B50" s="36"/>
      <c r="C50" s="93" t="s">
        <v>77</v>
      </c>
      <c r="D50" s="75">
        <v>81</v>
      </c>
      <c r="E50" s="75">
        <v>154</v>
      </c>
      <c r="F50" s="75">
        <v>160</v>
      </c>
      <c r="G50" s="75">
        <v>186</v>
      </c>
      <c r="H50" s="121">
        <f t="shared" si="12"/>
        <v>221</v>
      </c>
      <c r="J50" s="75">
        <v>195</v>
      </c>
      <c r="K50" s="75">
        <v>163</v>
      </c>
      <c r="L50" s="75">
        <v>151</v>
      </c>
      <c r="M50" s="75">
        <v>154</v>
      </c>
      <c r="N50" s="75">
        <v>149</v>
      </c>
      <c r="O50" s="75">
        <v>158</v>
      </c>
      <c r="P50" s="75">
        <v>157</v>
      </c>
      <c r="Q50" s="75">
        <v>160</v>
      </c>
      <c r="R50" s="75">
        <v>160</v>
      </c>
      <c r="S50" s="75">
        <v>160</v>
      </c>
      <c r="T50" s="75">
        <v>185</v>
      </c>
      <c r="U50" s="75">
        <v>186</v>
      </c>
      <c r="V50" s="75">
        <v>195</v>
      </c>
      <c r="W50" s="75">
        <v>198</v>
      </c>
      <c r="X50" s="75">
        <v>201</v>
      </c>
      <c r="Y50" s="75">
        <v>214</v>
      </c>
      <c r="Z50" s="121">
        <v>217</v>
      </c>
      <c r="AA50" s="121">
        <v>223</v>
      </c>
      <c r="AB50" s="575">
        <v>221</v>
      </c>
      <c r="AC50" s="75">
        <f t="shared" si="13"/>
        <v>-0.8968609865470878</v>
      </c>
      <c r="AD50" s="75">
        <f t="shared" si="14"/>
        <v>9.950248756218905</v>
      </c>
      <c r="AF50" s="75">
        <v>201</v>
      </c>
      <c r="AG50" s="575">
        <v>221</v>
      </c>
      <c r="AH50" s="75">
        <f t="shared" si="15"/>
        <v>9.950248756218905</v>
      </c>
      <c r="AI50" s="121">
        <f t="shared" si="16"/>
        <v>198</v>
      </c>
      <c r="AJ50" s="122">
        <f t="shared" si="17"/>
        <v>223</v>
      </c>
      <c r="AK50" s="121">
        <f t="shared" si="18"/>
        <v>12.62626262626263</v>
      </c>
      <c r="AL50" s="18"/>
      <c r="AM50" s="18"/>
    </row>
    <row r="51" spans="2:37" s="18" customFormat="1" ht="15">
      <c r="B51" s="18" t="s">
        <v>215</v>
      </c>
      <c r="D51" s="17">
        <v>508</v>
      </c>
      <c r="E51" s="17">
        <v>347</v>
      </c>
      <c r="F51" s="17">
        <v>376</v>
      </c>
      <c r="G51" s="17">
        <v>420</v>
      </c>
      <c r="H51" s="17">
        <f t="shared" si="12"/>
        <v>440</v>
      </c>
      <c r="I51" s="17"/>
      <c r="J51" s="17">
        <v>551</v>
      </c>
      <c r="K51" s="17">
        <v>553</v>
      </c>
      <c r="L51" s="17">
        <v>560</v>
      </c>
      <c r="M51" s="17">
        <v>347</v>
      </c>
      <c r="N51" s="17">
        <v>349</v>
      </c>
      <c r="O51" s="17">
        <v>376</v>
      </c>
      <c r="P51" s="17">
        <v>371</v>
      </c>
      <c r="Q51" s="17">
        <v>376</v>
      </c>
      <c r="R51" s="17">
        <v>364</v>
      </c>
      <c r="S51" s="17">
        <v>363</v>
      </c>
      <c r="T51" s="17">
        <v>401</v>
      </c>
      <c r="U51" s="17">
        <v>420</v>
      </c>
      <c r="V51" s="17">
        <v>421</v>
      </c>
      <c r="W51" s="17">
        <v>422</v>
      </c>
      <c r="X51" s="17">
        <v>409</v>
      </c>
      <c r="Y51" s="17">
        <v>419</v>
      </c>
      <c r="Z51" s="17">
        <f>SUM(Z52:Z53)</f>
        <v>436</v>
      </c>
      <c r="AA51" s="17">
        <f>SUM(AA52:AA53)</f>
        <v>430</v>
      </c>
      <c r="AB51" s="572">
        <f>SUM(AB52:AB53)</f>
        <v>440</v>
      </c>
      <c r="AC51" s="17">
        <f t="shared" si="13"/>
        <v>2.3255813953488413</v>
      </c>
      <c r="AD51" s="17">
        <f t="shared" si="14"/>
        <v>7.579462102689494</v>
      </c>
      <c r="AE51" s="15"/>
      <c r="AF51" s="17">
        <v>409</v>
      </c>
      <c r="AG51" s="572">
        <f>SUM(AG52:AG53)</f>
        <v>440</v>
      </c>
      <c r="AH51" s="17">
        <f t="shared" si="15"/>
        <v>7.579462102689494</v>
      </c>
      <c r="AI51" s="17">
        <f t="shared" si="16"/>
        <v>422</v>
      </c>
      <c r="AJ51" s="125">
        <f>SUM(AJ52:AJ53)</f>
        <v>430</v>
      </c>
      <c r="AK51" s="17">
        <f t="shared" si="18"/>
        <v>1.8957345971563955</v>
      </c>
    </row>
    <row r="52" spans="3:39" ht="15">
      <c r="C52" s="36" t="s">
        <v>78</v>
      </c>
      <c r="D52" s="75">
        <v>288</v>
      </c>
      <c r="E52" s="75">
        <v>92</v>
      </c>
      <c r="F52" s="75">
        <v>124</v>
      </c>
      <c r="G52" s="75">
        <v>119</v>
      </c>
      <c r="H52" s="121">
        <f t="shared" si="12"/>
        <v>125</v>
      </c>
      <c r="J52" s="75">
        <v>338</v>
      </c>
      <c r="K52" s="75">
        <v>339</v>
      </c>
      <c r="L52" s="75">
        <v>342</v>
      </c>
      <c r="M52" s="75">
        <v>92</v>
      </c>
      <c r="N52" s="75">
        <v>99</v>
      </c>
      <c r="O52" s="75">
        <v>116</v>
      </c>
      <c r="P52" s="75">
        <v>122</v>
      </c>
      <c r="Q52" s="75">
        <v>124</v>
      </c>
      <c r="R52" s="75">
        <v>105</v>
      </c>
      <c r="S52" s="75">
        <v>103</v>
      </c>
      <c r="T52" s="75">
        <v>113</v>
      </c>
      <c r="U52" s="75">
        <v>119</v>
      </c>
      <c r="V52" s="75">
        <v>119</v>
      </c>
      <c r="W52" s="75">
        <v>118</v>
      </c>
      <c r="X52" s="75">
        <v>115</v>
      </c>
      <c r="Y52" s="75">
        <v>117</v>
      </c>
      <c r="Z52" s="121">
        <v>125</v>
      </c>
      <c r="AA52" s="121">
        <v>127</v>
      </c>
      <c r="AB52" s="575">
        <v>125</v>
      </c>
      <c r="AC52" s="75">
        <f t="shared" si="13"/>
        <v>-1.5748031496062964</v>
      </c>
      <c r="AD52" s="75">
        <f t="shared" si="14"/>
        <v>8.695652173913038</v>
      </c>
      <c r="AF52" s="75">
        <v>115</v>
      </c>
      <c r="AG52" s="575">
        <v>125</v>
      </c>
      <c r="AH52" s="75">
        <f>IF(AND(AG52=0,AF52=0),0,IF(OR(AND(AG52&gt;0,AF52&lt;=0),AND(AG52&lt;0,AF52&gt;=0)),"nm",IF(AND(AG52&lt;0,AF52&lt;0),IF(-(AG52/AF52-1)*100&lt;-100,"(&gt;100)",-(AG52/AF52-1)*100),IF((AG52/AF52-1)*100&gt;100,"&gt;100",(AG52/AF52-1)*100))))</f>
        <v>8.695652173913038</v>
      </c>
      <c r="AI52" s="121">
        <f t="shared" si="16"/>
        <v>118</v>
      </c>
      <c r="AJ52" s="122">
        <f t="shared" si="17"/>
        <v>127</v>
      </c>
      <c r="AK52" s="121">
        <f>IF(AND(AJ52=0,AI52=0),0,IF(OR(AND(AJ52&gt;0,AI52&lt;=0),AND(AJ52&lt;0,AI52&gt;=0)),"nm",IF(AND(AJ52&lt;0,AI52&lt;0),IF(-(AJ52/AI52-1)*100&lt;-100,"(&gt;100)",-(AJ52/AI52-1)*100),IF((AJ52/AI52-1)*100&gt;100,"&gt;100",(AJ52/AI52-1)*100))))</f>
        <v>7.6271186440677985</v>
      </c>
      <c r="AL52" s="18"/>
      <c r="AM52" s="18"/>
    </row>
    <row r="53" spans="3:39" ht="15">
      <c r="C53" s="36" t="s">
        <v>79</v>
      </c>
      <c r="D53" s="75">
        <v>220</v>
      </c>
      <c r="E53" s="75">
        <v>255</v>
      </c>
      <c r="F53" s="75">
        <v>252</v>
      </c>
      <c r="G53" s="75">
        <v>301</v>
      </c>
      <c r="H53" s="121">
        <f t="shared" si="12"/>
        <v>315</v>
      </c>
      <c r="J53" s="75">
        <v>213</v>
      </c>
      <c r="K53" s="75">
        <v>214</v>
      </c>
      <c r="L53" s="75">
        <v>218</v>
      </c>
      <c r="M53" s="75">
        <v>255</v>
      </c>
      <c r="N53" s="75">
        <v>250</v>
      </c>
      <c r="O53" s="75">
        <v>260</v>
      </c>
      <c r="P53" s="75">
        <v>249</v>
      </c>
      <c r="Q53" s="75">
        <v>252</v>
      </c>
      <c r="R53" s="75">
        <v>259</v>
      </c>
      <c r="S53" s="75">
        <v>260</v>
      </c>
      <c r="T53" s="75">
        <v>288</v>
      </c>
      <c r="U53" s="75">
        <v>301</v>
      </c>
      <c r="V53" s="75">
        <v>302</v>
      </c>
      <c r="W53" s="75">
        <v>304</v>
      </c>
      <c r="X53" s="75">
        <v>294</v>
      </c>
      <c r="Y53" s="75">
        <v>302</v>
      </c>
      <c r="Z53" s="121">
        <v>311</v>
      </c>
      <c r="AA53" s="121">
        <v>303</v>
      </c>
      <c r="AB53" s="575">
        <v>315</v>
      </c>
      <c r="AC53" s="75">
        <f t="shared" si="13"/>
        <v>3.960396039603964</v>
      </c>
      <c r="AD53" s="75">
        <f t="shared" si="14"/>
        <v>7.14285714285714</v>
      </c>
      <c r="AF53" s="75">
        <v>294</v>
      </c>
      <c r="AG53" s="575">
        <v>315</v>
      </c>
      <c r="AH53" s="75">
        <f>IF(AND(AG53=0,AF53=0),0,IF(OR(AND(AG53&gt;0,AF53&lt;=0),AND(AG53&lt;0,AF53&gt;=0)),"nm",IF(AND(AG53&lt;0,AF53&lt;0),IF(-(AG53/AF53-1)*100&lt;-100,"(&gt;100)",-(AG53/AF53-1)*100),IF((AG53/AF53-1)*100&gt;100,"&gt;100",(AG53/AF53-1)*100))))</f>
        <v>7.14285714285714</v>
      </c>
      <c r="AI53" s="121">
        <f t="shared" si="16"/>
        <v>304</v>
      </c>
      <c r="AJ53" s="122">
        <f t="shared" si="17"/>
        <v>303</v>
      </c>
      <c r="AK53" s="121">
        <f>IF(AND(AJ53=0,AI53=0),0,IF(OR(AND(AJ53&gt;0,AI53&lt;=0),AND(AJ53&lt;0,AI53&gt;=0)),"nm",IF(AND(AJ53&lt;0,AI53&lt;0),IF(-(AJ53/AI53-1)*100&lt;-100,"(&gt;100)",-(AJ53/AI53-1)*100),IF((AJ53/AI53-1)*100&gt;100,"&gt;100",(AJ53/AI53-1)*100))))</f>
        <v>-0.3289473684210509</v>
      </c>
      <c r="AL53" s="18"/>
      <c r="AM53" s="18"/>
    </row>
    <row r="54" spans="3:39" ht="15">
      <c r="C54" s="22"/>
      <c r="D54" s="75"/>
      <c r="H54" s="121"/>
      <c r="Z54" s="121"/>
      <c r="AA54" s="121"/>
      <c r="AB54" s="489"/>
      <c r="AF54" s="171"/>
      <c r="AG54" s="489"/>
      <c r="AI54" s="165"/>
      <c r="AJ54" s="461"/>
      <c r="AL54" s="18"/>
      <c r="AM54" s="18"/>
    </row>
    <row r="55" spans="8:39" ht="15">
      <c r="H55" s="121"/>
      <c r="Z55" s="121"/>
      <c r="AA55" s="121"/>
      <c r="AB55" s="489"/>
      <c r="AG55" s="352"/>
      <c r="AJ55" s="143"/>
      <c r="AL55" s="18"/>
      <c r="AM55" s="18"/>
    </row>
    <row r="56" spans="8:39" ht="15">
      <c r="H56" s="121"/>
      <c r="Z56" s="121"/>
      <c r="AA56" s="121"/>
      <c r="AB56" s="489"/>
      <c r="AG56" s="352"/>
      <c r="AJ56" s="143"/>
      <c r="AL56" s="18"/>
      <c r="AM56" s="18"/>
    </row>
    <row r="57" spans="8:39" ht="15">
      <c r="H57" s="121"/>
      <c r="Z57" s="121"/>
      <c r="AA57" s="121"/>
      <c r="AB57" s="489"/>
      <c r="AG57" s="352"/>
      <c r="AJ57" s="143"/>
      <c r="AL57" s="18"/>
      <c r="AM57" s="18"/>
    </row>
    <row r="58" spans="8:39" ht="15">
      <c r="H58" s="121"/>
      <c r="Z58" s="121"/>
      <c r="AA58" s="121"/>
      <c r="AB58" s="489"/>
      <c r="AG58" s="352"/>
      <c r="AJ58" s="143"/>
      <c r="AL58" s="18"/>
      <c r="AM58" s="18"/>
    </row>
    <row r="59" spans="8:39" ht="15">
      <c r="H59" s="121"/>
      <c r="Z59" s="121"/>
      <c r="AA59" s="121"/>
      <c r="AB59" s="489"/>
      <c r="AG59" s="352"/>
      <c r="AJ59" s="143"/>
      <c r="AL59" s="18"/>
      <c r="AM59" s="18"/>
    </row>
    <row r="60" spans="8:39" ht="15">
      <c r="H60" s="121"/>
      <c r="Z60" s="121"/>
      <c r="AA60" s="121"/>
      <c r="AB60" s="122"/>
      <c r="AG60" s="352"/>
      <c r="AJ60" s="143"/>
      <c r="AL60" s="18"/>
      <c r="AM60" s="18"/>
    </row>
    <row r="61" spans="8:39" ht="15">
      <c r="H61" s="121"/>
      <c r="Z61" s="121"/>
      <c r="AA61" s="121"/>
      <c r="AB61" s="122"/>
      <c r="AG61" s="352"/>
      <c r="AJ61" s="143"/>
      <c r="AL61" s="18"/>
      <c r="AM61" s="18"/>
    </row>
    <row r="62" spans="8:39" ht="15">
      <c r="H62" s="121"/>
      <c r="Z62" s="121"/>
      <c r="AA62" s="121"/>
      <c r="AB62" s="122"/>
      <c r="AG62" s="352"/>
      <c r="AJ62" s="143"/>
      <c r="AL62" s="18"/>
      <c r="AM62" s="18"/>
    </row>
    <row r="63" spans="8:39" ht="15">
      <c r="H63" s="121"/>
      <c r="Z63" s="121"/>
      <c r="AA63" s="121"/>
      <c r="AB63" s="122"/>
      <c r="AG63" s="352"/>
      <c r="AJ63" s="143"/>
      <c r="AL63" s="18"/>
      <c r="AM63" s="18"/>
    </row>
    <row r="64" spans="8:39" ht="15">
      <c r="H64" s="121"/>
      <c r="Z64" s="121"/>
      <c r="AA64" s="121"/>
      <c r="AB64" s="122"/>
      <c r="AG64" s="352"/>
      <c r="AJ64" s="143"/>
      <c r="AL64" s="18"/>
      <c r="AM64" s="18"/>
    </row>
    <row r="65" spans="2:39" ht="15">
      <c r="B65" s="429" t="s">
        <v>407</v>
      </c>
      <c r="H65" s="121"/>
      <c r="Z65" s="121"/>
      <c r="AA65" s="121"/>
      <c r="AB65" s="122"/>
      <c r="AG65" s="352"/>
      <c r="AJ65" s="143"/>
      <c r="AL65" s="18"/>
      <c r="AM65" s="18"/>
    </row>
    <row r="66" spans="2:39" ht="15">
      <c r="B66" s="429" t="s">
        <v>410</v>
      </c>
      <c r="Z66" s="121"/>
      <c r="AA66" s="121"/>
      <c r="AB66" s="122"/>
      <c r="AG66" s="352"/>
      <c r="AJ66" s="143"/>
      <c r="AL66" s="18"/>
      <c r="AM66" s="18"/>
    </row>
    <row r="67" spans="26:39" ht="15">
      <c r="Z67" s="121"/>
      <c r="AA67" s="121"/>
      <c r="AB67" s="122"/>
      <c r="AG67" s="142"/>
      <c r="AJ67" s="143"/>
      <c r="AL67" s="18"/>
      <c r="AM67" s="18"/>
    </row>
    <row r="68" spans="26:39" ht="15">
      <c r="Z68" s="121"/>
      <c r="AA68" s="121"/>
      <c r="AB68" s="122"/>
      <c r="AG68" s="142"/>
      <c r="AJ68" s="143"/>
      <c r="AL68" s="18"/>
      <c r="AM68" s="18"/>
    </row>
    <row r="69" spans="26:39" ht="15">
      <c r="Z69" s="121"/>
      <c r="AA69" s="121"/>
      <c r="AB69" s="122"/>
      <c r="AG69" s="142"/>
      <c r="AJ69" s="143"/>
      <c r="AL69" s="18"/>
      <c r="AM69" s="18"/>
    </row>
    <row r="70" spans="26:39" ht="15">
      <c r="Z70" s="121"/>
      <c r="AA70" s="121"/>
      <c r="AB70" s="122"/>
      <c r="AG70" s="142"/>
      <c r="AJ70" s="143"/>
      <c r="AL70" s="18"/>
      <c r="AM70" s="18"/>
    </row>
    <row r="71" spans="26:39" ht="15">
      <c r="Z71" s="121"/>
      <c r="AA71" s="121"/>
      <c r="AB71" s="122"/>
      <c r="AG71" s="142"/>
      <c r="AJ71" s="143"/>
      <c r="AL71" s="18"/>
      <c r="AM71" s="18"/>
    </row>
    <row r="72" spans="26:39" ht="15">
      <c r="Z72" s="121"/>
      <c r="AA72" s="121"/>
      <c r="AB72" s="122"/>
      <c r="AG72" s="142"/>
      <c r="AJ72" s="143"/>
      <c r="AL72" s="18"/>
      <c r="AM72" s="18"/>
    </row>
    <row r="73" spans="26:39" ht="15">
      <c r="Z73" s="121"/>
      <c r="AA73" s="121"/>
      <c r="AB73" s="122"/>
      <c r="AG73" s="142"/>
      <c r="AJ73" s="143"/>
      <c r="AL73" s="18"/>
      <c r="AM73" s="18"/>
    </row>
    <row r="74" spans="26:39" ht="15">
      <c r="Z74" s="121"/>
      <c r="AA74" s="121"/>
      <c r="AB74" s="122"/>
      <c r="AG74" s="142"/>
      <c r="AJ74" s="143"/>
      <c r="AL74" s="18"/>
      <c r="AM74" s="18"/>
    </row>
    <row r="75" spans="26:39" ht="15">
      <c r="Z75" s="121"/>
      <c r="AA75" s="121"/>
      <c r="AB75" s="122"/>
      <c r="AG75" s="142"/>
      <c r="AJ75" s="143"/>
      <c r="AL75" s="18"/>
      <c r="AM75" s="18"/>
    </row>
    <row r="76" spans="26:39" ht="15">
      <c r="Z76" s="121"/>
      <c r="AA76" s="121"/>
      <c r="AB76" s="122"/>
      <c r="AG76" s="142"/>
      <c r="AJ76" s="143"/>
      <c r="AL76" s="18"/>
      <c r="AM76" s="18"/>
    </row>
    <row r="77" spans="26:39" ht="15">
      <c r="Z77" s="121"/>
      <c r="AA77" s="121"/>
      <c r="AB77" s="122"/>
      <c r="AG77" s="142"/>
      <c r="AJ77" s="143"/>
      <c r="AL77" s="18"/>
      <c r="AM77" s="18"/>
    </row>
    <row r="78" spans="26:39" ht="15">
      <c r="Z78" s="121"/>
      <c r="AA78" s="121"/>
      <c r="AB78" s="122"/>
      <c r="AG78" s="142"/>
      <c r="AJ78" s="143"/>
      <c r="AL78" s="18"/>
      <c r="AM78" s="18"/>
    </row>
    <row r="79" spans="26:39" ht="15">
      <c r="Z79" s="121"/>
      <c r="AA79" s="121"/>
      <c r="AB79" s="122"/>
      <c r="AG79" s="142"/>
      <c r="AJ79" s="143"/>
      <c r="AL79" s="18"/>
      <c r="AM79" s="18"/>
    </row>
    <row r="80" spans="26:39" ht="15">
      <c r="Z80" s="121"/>
      <c r="AA80" s="121"/>
      <c r="AB80" s="122"/>
      <c r="AG80" s="142"/>
      <c r="AJ80" s="143"/>
      <c r="AL80" s="18"/>
      <c r="AM80" s="18"/>
    </row>
    <row r="81" spans="26:39" ht="15">
      <c r="Z81" s="121"/>
      <c r="AA81" s="121"/>
      <c r="AB81" s="122"/>
      <c r="AG81" s="142"/>
      <c r="AJ81" s="143"/>
      <c r="AL81" s="18"/>
      <c r="AM81" s="18"/>
    </row>
    <row r="82" spans="26:39" ht="15">
      <c r="Z82" s="171"/>
      <c r="AA82" s="171"/>
      <c r="AB82" s="142"/>
      <c r="AG82" s="142"/>
      <c r="AJ82" s="143"/>
      <c r="AL82" s="18"/>
      <c r="AM82" s="18"/>
    </row>
    <row r="83" spans="26:39" ht="15">
      <c r="Z83" s="171"/>
      <c r="AA83" s="171"/>
      <c r="AB83" s="142"/>
      <c r="AG83" s="142"/>
      <c r="AJ83" s="143"/>
      <c r="AL83" s="18"/>
      <c r="AM83" s="18"/>
    </row>
    <row r="84" spans="26:39" ht="15">
      <c r="Z84" s="171"/>
      <c r="AA84" s="171"/>
      <c r="AB84" s="142"/>
      <c r="AG84" s="142"/>
      <c r="AJ84" s="143"/>
      <c r="AL84" s="18"/>
      <c r="AM84" s="18"/>
    </row>
    <row r="85" spans="26:39" ht="15">
      <c r="Z85" s="171"/>
      <c r="AA85" s="171"/>
      <c r="AB85" s="142"/>
      <c r="AG85" s="142"/>
      <c r="AJ85" s="143"/>
      <c r="AL85" s="18"/>
      <c r="AM85" s="18"/>
    </row>
    <row r="86" spans="26:39" ht="15">
      <c r="Z86" s="171"/>
      <c r="AA86" s="171"/>
      <c r="AB86" s="142"/>
      <c r="AG86" s="142"/>
      <c r="AJ86" s="143"/>
      <c r="AL86" s="18"/>
      <c r="AM86" s="18"/>
    </row>
    <row r="87" spans="26:39" ht="15">
      <c r="Z87" s="171"/>
      <c r="AA87" s="171"/>
      <c r="AB87" s="142"/>
      <c r="AG87" s="142"/>
      <c r="AJ87" s="143"/>
      <c r="AL87" s="18"/>
      <c r="AM87" s="18"/>
    </row>
    <row r="88" spans="26:39" ht="15">
      <c r="Z88" s="171"/>
      <c r="AA88" s="171"/>
      <c r="AB88" s="142"/>
      <c r="AG88" s="142"/>
      <c r="AJ88" s="143"/>
      <c r="AL88" s="18"/>
      <c r="AM88" s="18"/>
    </row>
    <row r="89" spans="26:39" ht="15">
      <c r="Z89" s="171"/>
      <c r="AA89" s="171"/>
      <c r="AB89" s="142"/>
      <c r="AG89" s="142"/>
      <c r="AJ89" s="143"/>
      <c r="AL89" s="18"/>
      <c r="AM89" s="18"/>
    </row>
    <row r="90" spans="26:39" ht="15">
      <c r="Z90" s="171"/>
      <c r="AA90" s="171"/>
      <c r="AB90" s="142"/>
      <c r="AG90" s="142"/>
      <c r="AJ90" s="143"/>
      <c r="AL90" s="18"/>
      <c r="AM90" s="18"/>
    </row>
    <row r="91" spans="26:39" ht="15">
      <c r="Z91" s="171"/>
      <c r="AA91" s="171"/>
      <c r="AB91" s="142"/>
      <c r="AG91" s="142"/>
      <c r="AJ91" s="143"/>
      <c r="AL91" s="18"/>
      <c r="AM91" s="18"/>
    </row>
    <row r="92" spans="26:39" ht="15">
      <c r="Z92" s="171"/>
      <c r="AA92" s="171"/>
      <c r="AB92" s="142"/>
      <c r="AG92" s="142"/>
      <c r="AJ92" s="143"/>
      <c r="AL92" s="18"/>
      <c r="AM92" s="18"/>
    </row>
    <row r="93" spans="26:36" ht="14.25">
      <c r="Z93" s="171"/>
      <c r="AA93" s="171"/>
      <c r="AB93" s="142"/>
      <c r="AG93" s="142"/>
      <c r="AJ93" s="143"/>
    </row>
    <row r="94" spans="26:36" ht="14.25">
      <c r="Z94" s="171"/>
      <c r="AA94" s="171"/>
      <c r="AB94" s="142"/>
      <c r="AG94" s="142"/>
      <c r="AJ94" s="143"/>
    </row>
    <row r="95" spans="26:36" ht="14.25">
      <c r="Z95" s="171"/>
      <c r="AA95" s="171"/>
      <c r="AB95" s="142"/>
      <c r="AG95" s="142"/>
      <c r="AJ95" s="143"/>
    </row>
    <row r="96" spans="26:36" ht="14.25">
      <c r="Z96" s="171"/>
      <c r="AA96" s="171"/>
      <c r="AB96" s="142"/>
      <c r="AG96" s="142"/>
      <c r="AJ96" s="143"/>
    </row>
    <row r="97" spans="26:36" ht="14.25">
      <c r="Z97" s="171"/>
      <c r="AA97" s="171"/>
      <c r="AB97" s="142"/>
      <c r="AG97" s="142"/>
      <c r="AJ97" s="143"/>
    </row>
    <row r="98" spans="26:36" ht="14.25">
      <c r="Z98" s="171"/>
      <c r="AA98" s="171"/>
      <c r="AB98" s="142"/>
      <c r="AG98" s="142"/>
      <c r="AJ98" s="143"/>
    </row>
  </sheetData>
  <sheetProtection/>
  <mergeCells count="2">
    <mergeCell ref="A2:C2"/>
    <mergeCell ref="C32:D32"/>
  </mergeCells>
  <hyperlinks>
    <hyperlink ref="A2" location="Index!A1" display="Back to Index"/>
  </hyperlinks>
  <printOptions gridLines="1"/>
  <pageMargins left="0.75" right="0.3" top="0.5" bottom="0.5" header="0.5" footer="0"/>
  <pageSetup horizontalDpi="600" verticalDpi="600" orientation="landscape" paperSize="9" scale="65" r:id="rId1"/>
  <headerFooter alignWithMargins="0">
    <oddFooter>&amp;L&amp;8&amp;D\&amp;T&amp;R&amp;F&amp;A</oddFooter>
  </headerFooter>
  <ignoredErrors>
    <ignoredError sqref="Z6:AB6 AE6 AG6" formulaRange="1"/>
    <ignoredError sqref="AJ34 AJ51" formula="1"/>
  </ignoredErrors>
</worksheet>
</file>

<file path=xl/worksheets/sheet14.xml><?xml version="1.0" encoding="utf-8"?>
<worksheet xmlns="http://schemas.openxmlformats.org/spreadsheetml/2006/main" xmlns:r="http://schemas.openxmlformats.org/officeDocument/2006/relationships">
  <sheetPr>
    <tabColor indexed="47"/>
    <pageSetUpPr fitToPage="1"/>
  </sheetPr>
  <dimension ref="A1:AJ55"/>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G22" sqref="AG22"/>
    </sheetView>
  </sheetViews>
  <sheetFormatPr defaultColWidth="9.140625" defaultRowHeight="12.75" outlineLevelCol="1"/>
  <cols>
    <col min="1" max="1" width="4.00390625" style="20" customWidth="1"/>
    <col min="2" max="2" width="4.28125" style="20" customWidth="1"/>
    <col min="3" max="3" width="53.57421875" style="5" customWidth="1"/>
    <col min="4" max="4" width="9.8515625" style="126" hidden="1" customWidth="1" outlineLevel="1"/>
    <col min="5" max="8" width="9.8515625" style="121" hidden="1" customWidth="1" outlineLevel="1"/>
    <col min="9" max="9" width="3.5742187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7" width="10.28125" style="121" bestFit="1" customWidth="1"/>
    <col min="28" max="28" width="10.28125" style="122" bestFit="1" customWidth="1"/>
    <col min="29" max="29" width="9.8515625" style="121" bestFit="1" customWidth="1"/>
    <col min="30" max="30" width="9.8515625" style="121" customWidth="1"/>
    <col min="31" max="31" width="2.8515625" style="19" customWidth="1"/>
    <col min="32" max="32" width="11.140625" style="121" customWidth="1"/>
    <col min="33" max="33" width="11.57421875" style="122" customWidth="1"/>
    <col min="34" max="34" width="12.00390625" style="121" customWidth="1"/>
    <col min="35" max="16384" width="9.140625" style="20" customWidth="1"/>
  </cols>
  <sheetData>
    <row r="1" spans="1:34" s="42" customFormat="1" ht="20.25">
      <c r="A1" s="41" t="s">
        <v>117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row>
    <row r="2" spans="1:34"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+'12.CumulativeAllowances'!AC2</f>
        <v>3Q13
vs 
2Q13</v>
      </c>
      <c r="AD2" s="285" t="str">
        <f>+'12.CumulativeAllowances'!AD2</f>
        <v>3Q13
vs 
3Q12</v>
      </c>
      <c r="AF2" s="74" t="s">
        <v>442</v>
      </c>
      <c r="AG2" s="74" t="s">
        <v>443</v>
      </c>
      <c r="AH2" s="285" t="s">
        <v>444</v>
      </c>
    </row>
    <row r="3" spans="1:34" s="24" customFormat="1" ht="14.25" customHeight="1">
      <c r="A3" s="47"/>
      <c r="B3" s="31"/>
      <c r="D3" s="8"/>
      <c r="E3" s="17"/>
      <c r="F3" s="17"/>
      <c r="G3" s="17"/>
      <c r="H3" s="17"/>
      <c r="I3" s="17"/>
      <c r="J3" s="17"/>
      <c r="K3" s="17"/>
      <c r="L3" s="17"/>
      <c r="M3" s="17"/>
      <c r="N3" s="17"/>
      <c r="O3" s="17"/>
      <c r="P3" s="17"/>
      <c r="Q3" s="17"/>
      <c r="R3" s="17"/>
      <c r="S3" s="17"/>
      <c r="T3" s="17"/>
      <c r="U3" s="17"/>
      <c r="V3" s="17"/>
      <c r="W3" s="17"/>
      <c r="X3" s="17"/>
      <c r="Y3" s="17"/>
      <c r="Z3" s="17"/>
      <c r="AA3" s="17"/>
      <c r="AB3" s="125"/>
      <c r="AC3" s="17"/>
      <c r="AD3" s="17"/>
      <c r="AF3" s="17"/>
      <c r="AG3" s="498"/>
      <c r="AH3" s="17"/>
    </row>
    <row r="4" spans="1:36" ht="15">
      <c r="A4" s="46" t="s">
        <v>224</v>
      </c>
      <c r="B4" s="38"/>
      <c r="Z4" s="140"/>
      <c r="AA4" s="481"/>
      <c r="AB4" s="153"/>
      <c r="AG4" s="153"/>
      <c r="AJ4" s="582"/>
    </row>
    <row r="5" spans="1:36" ht="15">
      <c r="A5" s="18"/>
      <c r="B5" s="20" t="s">
        <v>391</v>
      </c>
      <c r="C5" s="20"/>
      <c r="D5" s="121"/>
      <c r="Z5" s="140">
        <v>9496</v>
      </c>
      <c r="AA5" s="140">
        <v>9566</v>
      </c>
      <c r="AB5" s="153">
        <v>9606</v>
      </c>
      <c r="AC5" s="121">
        <f>IF(AND(AB5=0,AB5=0),0,IF(OR(AND(AB5&gt;0,AA5&lt;=0),AND(AB5&lt;0,AA5&gt;=0)),"nm",IF(AND(AB5&lt;0,AA5&lt;0),IF(-(AB5/AA5-1)*100&lt;-100,"(&gt;100)",-(AB5/AA5-1)*100),IF((AB5/AA5-1)*100&gt;100,"&gt;100",(AB5/AA5-1)*100))))</f>
        <v>0.41814760610494606</v>
      </c>
      <c r="AD5" s="121" t="str">
        <f>IF(AND(AB5=0,X5=0),0,IF(OR(AND(AB5&gt;0,X5&lt;=0),AND(AB5&lt;0,X5&gt;=0)),"nm",IF(AND(AB5&lt;0,X5&lt;0),IF(-(AB5/X5-1)*100&lt;-100,"(&gt;100)",-(AB5/X5-1)*100),IF((AB5/X5-1)*100&gt;100,"&gt;100",(AB5/X5-1)*100))))</f>
        <v>nm</v>
      </c>
      <c r="AF5" s="140">
        <f>X5</f>
        <v>0</v>
      </c>
      <c r="AG5" s="153">
        <f>AB5</f>
        <v>9606</v>
      </c>
      <c r="AH5" s="121" t="str">
        <f>IF(AND(AG5=0,AF5=0),0,IF(OR(AND(AG5&gt;0,AF5&lt;=0),AND(AG5&lt;0,AF5&gt;=0)),"nm",IF(AND(AG5&lt;0,AF5&lt;0),IF(-(AG5/AF5-1)*100&lt;-100,"(&gt;100)",-(AG5/AF5-1)*100),IF((AG5/AF5-1)*100&gt;100,"&gt;100",(AG5/AF5-1)*100))))</f>
        <v>nm</v>
      </c>
      <c r="AJ5" s="582"/>
    </row>
    <row r="6" spans="2:36" s="18" customFormat="1" ht="15">
      <c r="B6" s="20" t="s">
        <v>120</v>
      </c>
      <c r="D6" s="17"/>
      <c r="E6" s="17"/>
      <c r="F6" s="17"/>
      <c r="G6" s="17"/>
      <c r="H6" s="17"/>
      <c r="I6" s="17"/>
      <c r="J6" s="17"/>
      <c r="K6" s="17"/>
      <c r="L6" s="17"/>
      <c r="M6" s="17"/>
      <c r="N6" s="17"/>
      <c r="O6" s="17"/>
      <c r="P6" s="17"/>
      <c r="Q6" s="17"/>
      <c r="R6" s="17"/>
      <c r="S6" s="17"/>
      <c r="T6" s="17"/>
      <c r="U6" s="17"/>
      <c r="V6" s="17"/>
      <c r="W6" s="17"/>
      <c r="X6" s="17"/>
      <c r="Y6" s="17"/>
      <c r="Z6" s="140">
        <v>22707</v>
      </c>
      <c r="AA6" s="140">
        <v>22979</v>
      </c>
      <c r="AB6" s="153">
        <v>23120</v>
      </c>
      <c r="AC6" s="121">
        <f>IF(AND(AB6=0,AB6=0),0,IF(OR(AND(AB6&gt;0,AA6&lt;=0),AND(AB6&lt;0,AA6&gt;=0)),"nm",IF(AND(AB6&lt;0,AA6&lt;0),IF(-(AB6/AA6-1)*100&lt;-100,"(&gt;100)",-(AB6/AA6-1)*100),IF((AB6/AA6-1)*100&gt;100,"&gt;100",(AB6/AA6-1)*100))))</f>
        <v>0.6136037251403437</v>
      </c>
      <c r="AD6" s="121" t="str">
        <f>IF(AND(AB6=0,X6=0),0,IF(OR(AND(AB6&gt;0,X6&lt;=0),AND(AB6&lt;0,X6&gt;=0)),"nm",IF(AND(AB6&lt;0,X6&lt;0),IF(-(AB6/X6-1)*100&lt;-100,"(&gt;100)",-(AB6/X6-1)*100),IF((AB6/X6-1)*100&gt;100,"&gt;100",(AB6/X6-1)*100))))</f>
        <v>nm</v>
      </c>
      <c r="AE6" s="15"/>
      <c r="AF6" s="140">
        <f>X6</f>
        <v>0</v>
      </c>
      <c r="AG6" s="153">
        <f>AB6</f>
        <v>23120</v>
      </c>
      <c r="AH6" s="121" t="str">
        <f>IF(AND(AG6=0,AF6=0),0,IF(OR(AND(AG6&gt;0,AF6&lt;=0),AND(AG6&lt;0,AF6&gt;=0)),"nm",IF(AND(AG6&lt;0,AF6&lt;0),IF(-(AG6/AF6-1)*100&lt;-100,"(&gt;100)",-(AG6/AF6-1)*100),IF((AG6/AF6-1)*100&gt;100,"&gt;100",(AG6/AF6-1)*100))))</f>
        <v>nm</v>
      </c>
      <c r="AJ6" s="582"/>
    </row>
    <row r="7" spans="2:34" ht="14.25">
      <c r="B7" s="20" t="s">
        <v>392</v>
      </c>
      <c r="C7" s="20"/>
      <c r="D7" s="139"/>
      <c r="Z7" s="140">
        <v>-1240</v>
      </c>
      <c r="AA7" s="140">
        <v>-1280</v>
      </c>
      <c r="AB7" s="153">
        <v>-1289</v>
      </c>
      <c r="AC7" s="121">
        <f>IF(AND(AB7=0,AB7=0),0,IF(OR(AND(AB7&gt;0,AA7&lt;=0),AND(AB7&lt;0,AA7&gt;=0)),"nm",IF(AND(AB7&lt;0,AA7&lt;0),IF(-(AB7/AA7-1)*100&lt;-100,"(&gt;100)",-(AB7/AA7-1)*100),IF((AB7/AA7-1)*100&gt;100,"&gt;100",(AB7/AA7-1)*100))))</f>
        <v>-0.7031250000000044</v>
      </c>
      <c r="AD7" s="121" t="str">
        <f>IF(AND(AB7=0,X7=0),0,IF(OR(AND(AB7&gt;0,X7&lt;=0),AND(AB7&lt;0,X7&gt;=0)),"nm",IF(AND(AB7&lt;0,X7&lt;0),IF(-(AB7/X7-1)*100&lt;-100,"(&gt;100)",-(AB7/X7-1)*100),IF((AB7/X7-1)*100&gt;100,"&gt;100",(AB7/X7-1)*100))))</f>
        <v>nm</v>
      </c>
      <c r="AF7" s="140">
        <f>X7</f>
        <v>0</v>
      </c>
      <c r="AG7" s="153">
        <f>AB7</f>
        <v>-1289</v>
      </c>
      <c r="AH7" s="121" t="str">
        <f>IF(AND(AG7=0,AF7=0),0,IF(OR(AND(AG7&gt;0,AF7&lt;=0),AND(AG7&lt;0,AF7&gt;=0)),"nm",IF(AND(AG7&lt;0,AF7&lt;0),IF(-(AG7/AF7-1)*100&lt;-100,"(&gt;100)",-(AG7/AF7-1)*100),IF((AG7/AF7-1)*100&gt;100,"&gt;100",(AG7/AF7-1)*100))))</f>
        <v>nm</v>
      </c>
    </row>
    <row r="8" spans="2:34" s="18" customFormat="1" ht="15">
      <c r="B8" s="18" t="s">
        <v>393</v>
      </c>
      <c r="D8" s="133"/>
      <c r="E8" s="17"/>
      <c r="F8" s="17"/>
      <c r="G8" s="17"/>
      <c r="H8" s="17"/>
      <c r="I8" s="17"/>
      <c r="J8" s="17"/>
      <c r="K8" s="17"/>
      <c r="L8" s="17"/>
      <c r="M8" s="17"/>
      <c r="N8" s="17"/>
      <c r="O8" s="17"/>
      <c r="P8" s="17"/>
      <c r="Q8" s="17"/>
      <c r="R8" s="17"/>
      <c r="S8" s="17"/>
      <c r="T8" s="17"/>
      <c r="U8" s="17"/>
      <c r="V8" s="17"/>
      <c r="W8" s="17"/>
      <c r="X8" s="17"/>
      <c r="Y8" s="17"/>
      <c r="Z8" s="104">
        <f>SUM(Z5:Z7)</f>
        <v>30963</v>
      </c>
      <c r="AA8" s="104">
        <f>SUM(AA5:AA7)</f>
        <v>31265</v>
      </c>
      <c r="AB8" s="585">
        <f>SUM(AB5:AB7)</f>
        <v>31437</v>
      </c>
      <c r="AC8" s="17">
        <f>IF(AND(AB8=0,AB8=0),0,IF(OR(AND(AB8&gt;0,AA8&lt;=0),AND(AB8&lt;0,AA8&gt;=0)),"nm",IF(AND(AB8&lt;0,AA8&lt;0),IF(-(AB8/AA8-1)*100&lt;-100,"(&gt;100)",-(AB8/AA8-1)*100),IF((AB8/AA8-1)*100&gt;100,"&gt;100",(AB8/AA8-1)*100))))</f>
        <v>0.5501359347513279</v>
      </c>
      <c r="AD8" s="17" t="str">
        <f>IF(AND(AB8=0,X8=0),0,IF(OR(AND(AB8&gt;0,X8&lt;=0),AND(AB8&lt;0,X8&gt;=0)),"nm",IF(AND(AB8&lt;0,X8&lt;0),IF(-(AB8/X8-1)*100&lt;-100,"(&gt;100)",-(AB8/X8-1)*100),IF((AB8/X8-1)*100&gt;100,"&gt;100",(AB8/X8-1)*100))))</f>
        <v>nm</v>
      </c>
      <c r="AE8" s="15"/>
      <c r="AF8" s="104">
        <f>X8</f>
        <v>0</v>
      </c>
      <c r="AG8" s="585">
        <f>AB8</f>
        <v>31437</v>
      </c>
      <c r="AH8" s="17" t="str">
        <f>IF(AND(AG8=0,AF8=0),0,IF(OR(AND(AG8&gt;0,AF8&lt;=0),AND(AG8&lt;0,AF8&gt;=0)),"nm",IF(AND(AG8&lt;0,AF8&lt;0),IF(-(AG8/AF8-1)*100&lt;-100,"(&gt;100)",-(AG8/AF8-1)*100),IF((AG8/AF8-1)*100&gt;100,"&gt;100",(AG8/AF8-1)*100))))</f>
        <v>nm</v>
      </c>
    </row>
    <row r="9" spans="3:33" ht="14.25">
      <c r="C9" s="20"/>
      <c r="D9" s="139"/>
      <c r="Z9" s="140"/>
      <c r="AA9" s="140"/>
      <c r="AB9" s="153"/>
      <c r="AF9" s="140"/>
      <c r="AG9" s="153"/>
    </row>
    <row r="10" spans="2:34" ht="14.25">
      <c r="B10" s="20" t="s">
        <v>394</v>
      </c>
      <c r="C10" s="20"/>
      <c r="D10" s="139"/>
      <c r="Z10" s="140">
        <v>3746</v>
      </c>
      <c r="AA10" s="140">
        <v>3746</v>
      </c>
      <c r="AB10" s="153">
        <v>3746</v>
      </c>
      <c r="AC10" s="121">
        <f>IF(AND(AB10=0,AB10=0),0,IF(OR(AND(AB10&gt;0,AA10&lt;=0),AND(AB10&lt;0,AA10&gt;=0)),"nm",IF(AND(AB10&lt;0,AA10&lt;0),IF(-(AB10/AA10-1)*100&lt;-100,"(&gt;100)",-(AB10/AA10-1)*100),IF((AB10/AA10-1)*100&gt;100,"&gt;100",(AB10/AA10-1)*100))))</f>
        <v>0</v>
      </c>
      <c r="AD10" s="121" t="str">
        <f>IF(AND(AB10=0,X10=0),0,IF(OR(AND(AB10&gt;0,X10&lt;=0),AND(AB10&lt;0,X10&gt;=0)),"nm",IF(AND(AB10&lt;0,X10&lt;0),IF(-(AB10/X10-1)*100&lt;-100,"(&gt;100)",-(AB10/X10-1)*100),IF((AB10/X10-1)*100&gt;100,"&gt;100",(AB10/X10-1)*100))))</f>
        <v>nm</v>
      </c>
      <c r="AF10" s="140">
        <f>X10</f>
        <v>0</v>
      </c>
      <c r="AG10" s="153">
        <f>AB10</f>
        <v>3746</v>
      </c>
      <c r="AH10" s="121" t="str">
        <f>IF(AND(AG10=0,AF10=0),0,IF(OR(AND(AG10&gt;0,AF10&lt;=0),AND(AG10&lt;0,AF10&gt;=0)),"nm",IF(AND(AG10&lt;0,AF10&lt;0),IF(-(AG10/AF10-1)*100&lt;-100,"(&gt;100)",-(AG10/AF10-1)*100),IF((AG10/AF10-1)*100&gt;100,"&gt;100",(AG10/AF10-1)*100))))</f>
        <v>nm</v>
      </c>
    </row>
    <row r="11" spans="2:34" ht="14.25">
      <c r="B11" s="102" t="s">
        <v>395</v>
      </c>
      <c r="C11" s="20"/>
      <c r="D11" s="139"/>
      <c r="Z11" s="140">
        <v>-3746</v>
      </c>
      <c r="AA11" s="140">
        <v>-3746</v>
      </c>
      <c r="AB11" s="153">
        <v>-3746</v>
      </c>
      <c r="AC11" s="121">
        <f>IF(AND(AB11=0,AB11=0),0,IF(OR(AND(AB11&gt;0,AA11&lt;=0),AND(AB11&lt;0,AA11&gt;=0)),"nm",IF(AND(AB11&lt;0,AA11&lt;0),IF(-(AB11/AA11-1)*100&lt;-100,"(&gt;100)",-(AB11/AA11-1)*100),IF((AB11/AA11-1)*100&gt;100,"&gt;100",(AB11/AA11-1)*100))))</f>
        <v>0</v>
      </c>
      <c r="AD11" s="121" t="str">
        <f>IF(AND(AB11=0,X11=0),0,IF(OR(AND(AB11&gt;0,X11&lt;=0),AND(AB11&lt;0,X11&gt;=0)),"nm",IF(AND(AB11&lt;0,X11&lt;0),IF(-(AB11/X11-1)*100&lt;-100,"(&gt;100)",-(AB11/X11-1)*100),IF((AB11/X11-1)*100&gt;100,"&gt;100",(AB11/X11-1)*100))))</f>
        <v>nm</v>
      </c>
      <c r="AF11" s="140">
        <f>X11</f>
        <v>0</v>
      </c>
      <c r="AG11" s="153">
        <f>AB11</f>
        <v>-3746</v>
      </c>
      <c r="AH11" s="121" t="str">
        <f>IF(AND(AG11=0,AF11=0),0,IF(OR(AND(AG11&gt;0,AF11&lt;=0),AND(AG11&lt;0,AF11&gt;=0)),"nm",IF(AND(AG11&lt;0,AF11&lt;0),IF(-(AG11/AF11-1)*100&lt;-100,"(&gt;100)",-(AG11/AF11-1)*100),IF((AG11/AF11-1)*100&gt;100,"&gt;100",(AG11/AF11-1)*100))))</f>
        <v>nm</v>
      </c>
    </row>
    <row r="12" spans="2:34" s="18" customFormat="1" ht="15">
      <c r="B12" s="428" t="s">
        <v>396</v>
      </c>
      <c r="D12" s="133"/>
      <c r="E12" s="17"/>
      <c r="F12" s="17"/>
      <c r="G12" s="17"/>
      <c r="H12" s="17"/>
      <c r="I12" s="17"/>
      <c r="J12" s="17"/>
      <c r="K12" s="17"/>
      <c r="L12" s="17"/>
      <c r="M12" s="17"/>
      <c r="N12" s="17"/>
      <c r="O12" s="17"/>
      <c r="P12" s="17"/>
      <c r="Q12" s="17"/>
      <c r="R12" s="17"/>
      <c r="S12" s="17"/>
      <c r="T12" s="17"/>
      <c r="U12" s="17"/>
      <c r="V12" s="17">
        <v>27870</v>
      </c>
      <c r="W12" s="17">
        <v>28816</v>
      </c>
      <c r="X12" s="17">
        <v>29126</v>
      </c>
      <c r="Y12" s="17">
        <v>30196</v>
      </c>
      <c r="Z12" s="104">
        <f>SUM(Z8:Z11)</f>
        <v>30963</v>
      </c>
      <c r="AA12" s="104">
        <f>SUM(AA8:AA11)</f>
        <v>31265</v>
      </c>
      <c r="AB12" s="585">
        <f>SUM(AB8:AB11)</f>
        <v>31437</v>
      </c>
      <c r="AC12" s="17">
        <f>IF(AND(AB12=0,AB12=0),0,IF(OR(AND(AB12&gt;0,AA12&lt;=0),AND(AB12&lt;0,AA12&gt;=0)),"nm",IF(AND(AB12&lt;0,AA12&lt;0),IF(-(AB12/AA12-1)*100&lt;-100,"(&gt;100)",-(AB12/AA12-1)*100),IF((AB12/AA12-1)*100&gt;100,"&gt;100",(AB12/AA12-1)*100))))</f>
        <v>0.5501359347513279</v>
      </c>
      <c r="AD12" s="17">
        <f>IF(AND(AB12=0,X12=0),0,IF(OR(AND(AB12&gt;0,X12&lt;=0),AND(AB12&lt;0,X12&gt;=0)),"nm",IF(AND(AB12&lt;0,X12&lt;0),IF(-(AB12/X12-1)*100&lt;-100,"(&gt;100)",-(AB12/X12-1)*100),IF((AB12/X12-1)*100&gt;100,"&gt;100",(AB12/X12-1)*100))))</f>
        <v>7.934491519604481</v>
      </c>
      <c r="AE12" s="15"/>
      <c r="AF12" s="104">
        <f>X12</f>
        <v>29126</v>
      </c>
      <c r="AG12" s="585">
        <f>AB12</f>
        <v>31437</v>
      </c>
      <c r="AH12" s="17">
        <f>IF(AND(AG12=0,AF12=0),0,IF(OR(AND(AG12&gt;0,AF12&lt;=0),AND(AG12&lt;0,AF12&gt;=0)),"nm",IF(AND(AG12&lt;0,AF12&lt;0),IF(-(AG12/AF12-1)*100&lt;-100,"(&gt;100)",-(AG12/AF12-1)*100),IF((AG12/AF12-1)*100&gt;100,"&gt;100",(AG12/AF12-1)*100))))</f>
        <v>7.934491519604481</v>
      </c>
    </row>
    <row r="13" spans="2:33" ht="15">
      <c r="B13" s="102"/>
      <c r="C13" s="20"/>
      <c r="D13" s="139"/>
      <c r="Z13" s="140"/>
      <c r="AA13" s="140"/>
      <c r="AB13" s="153"/>
      <c r="AF13" s="104"/>
      <c r="AG13" s="153"/>
    </row>
    <row r="14" spans="2:34" ht="15">
      <c r="B14" s="102" t="s">
        <v>397</v>
      </c>
      <c r="C14" s="20"/>
      <c r="D14" s="139"/>
      <c r="Z14" s="140">
        <v>1259</v>
      </c>
      <c r="AA14" s="140">
        <v>1287</v>
      </c>
      <c r="AB14" s="153">
        <v>1267</v>
      </c>
      <c r="AC14" s="121">
        <f>IF(AND(AB14=0,AB14=0),0,IF(OR(AND(AB14&gt;0,AA14&lt;=0),AND(AB14&lt;0,AA14&gt;=0)),"nm",IF(AND(AB14&lt;0,AA14&lt;0),IF(-(AB14/AA14-1)*100&lt;-100,"(&gt;100)",-(AB14/AA14-1)*100),IF((AB14/AA14-1)*100&gt;100,"&gt;100",(AB14/AA14-1)*100))))</f>
        <v>-1.5540015540015495</v>
      </c>
      <c r="AD14" s="121" t="str">
        <f>IF(AND(AB14=0,X14=0),0,IF(OR(AND(AB14&gt;0,X14&lt;=0),AND(AB14&lt;0,X14&gt;=0)),"nm",IF(AND(AB14&lt;0,X14&lt;0),IF(-(AB14/X14-1)*100&lt;-100,"(&gt;100)",-(AB14/X14-1)*100),IF((AB14/X14-1)*100&gt;100,"&gt;100",(AB14/X14-1)*100))))</f>
        <v>nm</v>
      </c>
      <c r="AF14" s="104">
        <f>X14</f>
        <v>0</v>
      </c>
      <c r="AG14" s="153">
        <f>AB14</f>
        <v>1267</v>
      </c>
      <c r="AH14" s="121" t="str">
        <f>IF(AND(AG14=0,AF14=0),0,IF(OR(AND(AG14&gt;0,AF14&lt;=0),AND(AG14&lt;0,AF14&gt;=0)),"nm",IF(AND(AG14&lt;0,AF14&lt;0),IF(-(AG14/AF14-1)*100&lt;-100,"(&gt;100)",-(AG14/AF14-1)*100),IF((AG14/AF14-1)*100&gt;100,"&gt;100",(AG14/AF14-1)*100))))</f>
        <v>nm</v>
      </c>
    </row>
    <row r="15" spans="2:34" ht="15">
      <c r="B15" s="102" t="s">
        <v>398</v>
      </c>
      <c r="C15" s="20"/>
      <c r="D15" s="139"/>
      <c r="Z15" s="140">
        <v>4955</v>
      </c>
      <c r="AA15" s="140">
        <v>4955</v>
      </c>
      <c r="AB15" s="153">
        <v>4955</v>
      </c>
      <c r="AC15" s="121">
        <f>IF(AND(AB15=0,AB15=0),0,IF(OR(AND(AB15&gt;0,AA15&lt;=0),AND(AB15&lt;0,AA15&gt;=0)),"nm",IF(AND(AB15&lt;0,AA15&lt;0),IF(-(AB15/AA15-1)*100&lt;-100,"(&gt;100)",-(AB15/AA15-1)*100),IF((AB15/AA15-1)*100&gt;100,"&gt;100",(AB15/AA15-1)*100))))</f>
        <v>0</v>
      </c>
      <c r="AD15" s="121" t="str">
        <f>IF(AND(AB15=0,X15=0),0,IF(OR(AND(AB15&gt;0,X15&lt;=0),AND(AB15&lt;0,X15&gt;=0)),"nm",IF(AND(AB15&lt;0,X15&lt;0),IF(-(AB15/X15-1)*100&lt;-100,"(&gt;100)",-(AB15/X15-1)*100),IF((AB15/X15-1)*100&gt;100,"&gt;100",(AB15/X15-1)*100))))</f>
        <v>nm</v>
      </c>
      <c r="AF15" s="104">
        <f>X15</f>
        <v>0</v>
      </c>
      <c r="AG15" s="153">
        <f>AB15</f>
        <v>4955</v>
      </c>
      <c r="AH15" s="121" t="str">
        <f>IF(AND(AG15=0,AF15=0),0,IF(OR(AND(AG15&gt;0,AF15&lt;=0),AND(AG15&lt;0,AF15&gt;=0)),"nm",IF(AND(AG15&lt;0,AF15&lt;0),IF(-(AG15/AF15-1)*100&lt;-100,"(&gt;100)",-(AG15/AF15-1)*100),IF((AG15/AF15-1)*100&gt;100,"&gt;100",(AG15/AF15-1)*100))))</f>
        <v>nm</v>
      </c>
    </row>
    <row r="16" spans="2:34" ht="15">
      <c r="B16" s="102" t="s">
        <v>399</v>
      </c>
      <c r="C16" s="20"/>
      <c r="D16" s="139"/>
      <c r="Z16" s="140">
        <v>-1</v>
      </c>
      <c r="AA16" s="140">
        <v>-1</v>
      </c>
      <c r="AB16" s="153">
        <v>-1</v>
      </c>
      <c r="AC16" s="121">
        <f>IF(AND(AB16=0,AB16=0),0,IF(OR(AND(AB16&gt;0,AA16&lt;=0),AND(AB16&lt;0,AA16&gt;=0)),"nm",IF(AND(AB16&lt;0,AA16&lt;0),IF(-(AB16/AA16-1)*100&lt;-100,"(&gt;100)",-(AB16/AA16-1)*100),IF((AB16/AA16-1)*100&gt;100,"&gt;100",(AB16/AA16-1)*100))))</f>
        <v>0</v>
      </c>
      <c r="AD16" s="121" t="str">
        <f>IF(AND(AB16=0,X16=0),0,IF(OR(AND(AB16&gt;0,X16&lt;=0),AND(AB16&lt;0,X16&gt;=0)),"nm",IF(AND(AB16&lt;0,X16&lt;0),IF(-(AB16/X16-1)*100&lt;-100,"(&gt;100)",-(AB16/X16-1)*100),IF((AB16/X16-1)*100&gt;100,"&gt;100",(AB16/X16-1)*100))))</f>
        <v>nm</v>
      </c>
      <c r="AF16" s="104">
        <f>X16</f>
        <v>0</v>
      </c>
      <c r="AG16" s="122">
        <f>AB16</f>
        <v>-1</v>
      </c>
      <c r="AH16" s="121" t="str">
        <f>IF(AND(AG16=0,AF16=0),0,IF(OR(AND(AG16&gt;0,AF16&lt;=0),AND(AG16&lt;0,AF16&gt;=0)),"nm",IF(AND(AG16&lt;0,AF16&lt;0),IF(-(AG16/AF16-1)*100&lt;-100,"(&gt;100)",-(AG16/AF16-1)*100),IF((AG16/AF16-1)*100&gt;100,"&gt;100",(AG16/AF16-1)*100))))</f>
        <v>nm</v>
      </c>
    </row>
    <row r="17" spans="2:34" s="18" customFormat="1" ht="15">
      <c r="B17" s="428" t="s">
        <v>400</v>
      </c>
      <c r="D17" s="133"/>
      <c r="E17" s="17"/>
      <c r="F17" s="17"/>
      <c r="G17" s="17"/>
      <c r="H17" s="17"/>
      <c r="I17" s="17"/>
      <c r="J17" s="17"/>
      <c r="K17" s="17"/>
      <c r="L17" s="17"/>
      <c r="M17" s="17"/>
      <c r="N17" s="17"/>
      <c r="O17" s="17"/>
      <c r="P17" s="17"/>
      <c r="Q17" s="17"/>
      <c r="R17" s="17"/>
      <c r="S17" s="17"/>
      <c r="T17" s="17"/>
      <c r="U17" s="17"/>
      <c r="V17" s="17">
        <v>36051</v>
      </c>
      <c r="W17" s="17">
        <v>34627</v>
      </c>
      <c r="X17" s="17">
        <v>35837</v>
      </c>
      <c r="Y17" s="17">
        <v>36831</v>
      </c>
      <c r="Z17" s="104">
        <f>SUM(Z12:Z16)</f>
        <v>37176</v>
      </c>
      <c r="AA17" s="104">
        <f>SUM(AA12:AA16)</f>
        <v>37506</v>
      </c>
      <c r="AB17" s="585">
        <f>SUM(AB12:AB16)</f>
        <v>37658</v>
      </c>
      <c r="AC17" s="17">
        <f>IF(AND(AB17=0,AB17=0),0,IF(OR(AND(AB17&gt;0,AA17&lt;=0),AND(AB17&lt;0,AA17&gt;=0)),"nm",IF(AND(AB17&lt;0,AA17&lt;0),IF(-(AB17/AA17-1)*100&lt;-100,"(&gt;100)",-(AB17/AA17-1)*100),IF((AB17/AA17-1)*100&gt;100,"&gt;100",(AB17/AA17-1)*100))))</f>
        <v>0.4052684903748771</v>
      </c>
      <c r="AD17" s="17">
        <f>IF(AND(AB17=0,X17=0),0,IF(OR(AND(AB17&gt;0,X17&lt;=0),AND(AB17&lt;0,X17&gt;=0)),"nm",IF(AND(AB17&lt;0,X17&lt;0),IF(-(AB17/X17-1)*100&lt;-100,"(&gt;100)",-(AB17/X17-1)*100),IF((AB17/X17-1)*100&gt;100,"&gt;100",(AB17/X17-1)*100))))</f>
        <v>5.081340513993915</v>
      </c>
      <c r="AE17" s="15"/>
      <c r="AF17" s="104">
        <f>X17</f>
        <v>35837</v>
      </c>
      <c r="AG17" s="585">
        <f>AB17</f>
        <v>37658</v>
      </c>
      <c r="AH17" s="17">
        <f>IF(AND(AG17=0,AF17=0),0,IF(OR(AND(AG17&gt;0,AF17&lt;=0),AND(AG17&lt;0,AF17&gt;=0)),"nm",IF(AND(AG17&lt;0,AF17&lt;0),IF(-(AG17/AF17-1)*100&lt;-100,"(&gt;100)",-(AG17/AF17-1)*100),IF((AG17/AF17-1)*100&gt;100,"&gt;100",(AG17/AF17-1)*100))))</f>
        <v>5.081340513993915</v>
      </c>
    </row>
    <row r="18" spans="2:36" s="24" customFormat="1" ht="6" customHeight="1">
      <c r="B18" s="31"/>
      <c r="C18" s="26"/>
      <c r="D18" s="133"/>
      <c r="E18" s="17"/>
      <c r="F18" s="17"/>
      <c r="G18" s="17"/>
      <c r="H18" s="17"/>
      <c r="I18" s="17"/>
      <c r="J18" s="17"/>
      <c r="K18" s="17"/>
      <c r="L18" s="17"/>
      <c r="M18" s="17"/>
      <c r="N18" s="17"/>
      <c r="O18" s="17"/>
      <c r="P18" s="17"/>
      <c r="Q18" s="17"/>
      <c r="R18" s="17"/>
      <c r="S18" s="17"/>
      <c r="T18" s="17"/>
      <c r="U18" s="17"/>
      <c r="V18" s="17"/>
      <c r="W18" s="17"/>
      <c r="X18" s="17"/>
      <c r="Y18" s="17"/>
      <c r="Z18" s="140"/>
      <c r="AA18" s="140"/>
      <c r="AB18" s="153"/>
      <c r="AC18" s="121"/>
      <c r="AD18" s="121"/>
      <c r="AG18" s="585"/>
      <c r="AH18" s="121"/>
      <c r="AI18" s="20"/>
      <c r="AJ18" s="20"/>
    </row>
    <row r="19" spans="1:34" s="18" customFormat="1" ht="15">
      <c r="A19" s="428" t="s">
        <v>401</v>
      </c>
      <c r="D19" s="133"/>
      <c r="E19" s="17"/>
      <c r="F19" s="17"/>
      <c r="G19" s="17"/>
      <c r="H19" s="17"/>
      <c r="I19" s="17"/>
      <c r="J19" s="17"/>
      <c r="K19" s="17"/>
      <c r="L19" s="17"/>
      <c r="M19" s="17"/>
      <c r="N19" s="17"/>
      <c r="O19" s="17"/>
      <c r="P19" s="17"/>
      <c r="Q19" s="17"/>
      <c r="R19" s="17"/>
      <c r="S19" s="17"/>
      <c r="T19" s="17"/>
      <c r="U19" s="17"/>
      <c r="V19" s="17">
        <v>219702</v>
      </c>
      <c r="W19" s="17">
        <v>225382</v>
      </c>
      <c r="X19" s="17">
        <v>216896</v>
      </c>
      <c r="Y19" s="17">
        <v>215591</v>
      </c>
      <c r="Z19" s="104">
        <v>240359</v>
      </c>
      <c r="AA19" s="104">
        <v>242757</v>
      </c>
      <c r="AB19" s="585">
        <v>236113</v>
      </c>
      <c r="AC19" s="17">
        <f>IF(AND(AB19=0,AB19=0),0,IF(OR(AND(AB19&gt;0,AA19&lt;=0),AND(AB19&lt;0,AA19&gt;=0)),"nm",IF(AND(AB19&lt;0,AA19&lt;0),IF(-(AB19/AA19-1)*100&lt;-100,"(&gt;100)",-(AB19/AA19-1)*100),IF((AB19/AA19-1)*100&gt;100,"&gt;100",(AB19/AA19-1)*100))))</f>
        <v>-2.736893271872698</v>
      </c>
      <c r="AD19" s="17">
        <f>IF(AND(AB19=0,X19=0),0,IF(OR(AND(AB19&gt;0,X19&lt;=0),AND(AB19&lt;0,X19&gt;=0)),"nm",IF(AND(AB19&lt;0,X19&lt;0),IF(-(AB19/X19-1)*100&lt;-100,"(&gt;100)",-(AB19/X19-1)*100),IF((AB19/X19-1)*100&gt;100,"&gt;100",(AB19/X19-1)*100))))</f>
        <v>8.860006639126583</v>
      </c>
      <c r="AE19" s="15"/>
      <c r="AF19" s="104">
        <f>X19</f>
        <v>216896</v>
      </c>
      <c r="AG19" s="585">
        <f>AB19</f>
        <v>236113</v>
      </c>
      <c r="AH19" s="17">
        <f>IF(AND(AG19=0,AF19=0),0,IF(OR(AND(AG19&gt;0,AF19&lt;=0),AND(AG19&lt;0,AF19&gt;=0)),"nm",IF(AND(AG19&lt;0,AF19&lt;0),IF(-(AG19/AF19-1)*100&lt;-100,"(&gt;100)",-(AG19/AF19-1)*100),IF((AG19/AF19-1)*100&gt;100,"&gt;100",(AG19/AF19-1)*100))))</f>
        <v>8.860006639126583</v>
      </c>
    </row>
    <row r="20" spans="2:34" ht="15">
      <c r="B20" s="428"/>
      <c r="C20" s="18"/>
      <c r="D20" s="133"/>
      <c r="E20" s="17"/>
      <c r="F20" s="17"/>
      <c r="G20" s="17"/>
      <c r="H20" s="17"/>
      <c r="I20" s="17"/>
      <c r="J20" s="17"/>
      <c r="K20" s="17"/>
      <c r="L20" s="17"/>
      <c r="M20" s="17"/>
      <c r="N20" s="17"/>
      <c r="O20" s="17"/>
      <c r="P20" s="17"/>
      <c r="Q20" s="17"/>
      <c r="R20" s="17"/>
      <c r="S20" s="17"/>
      <c r="T20" s="17"/>
      <c r="U20" s="17"/>
      <c r="V20" s="17"/>
      <c r="W20" s="17"/>
      <c r="X20" s="17"/>
      <c r="Y20" s="17"/>
      <c r="Z20" s="104"/>
      <c r="AA20" s="442"/>
      <c r="AB20" s="585"/>
      <c r="AC20" s="17"/>
      <c r="AD20" s="17"/>
      <c r="AE20" s="15"/>
      <c r="AF20" s="134"/>
      <c r="AG20" s="586"/>
      <c r="AH20" s="134"/>
    </row>
    <row r="21" spans="2:34" ht="15">
      <c r="B21" s="428"/>
      <c r="C21" s="18"/>
      <c r="D21" s="133"/>
      <c r="E21" s="17"/>
      <c r="F21" s="17"/>
      <c r="G21" s="17"/>
      <c r="H21" s="17"/>
      <c r="I21" s="17"/>
      <c r="J21" s="17"/>
      <c r="K21" s="17"/>
      <c r="L21" s="17"/>
      <c r="M21" s="17"/>
      <c r="N21" s="17"/>
      <c r="O21" s="17"/>
      <c r="P21" s="17"/>
      <c r="Q21" s="17"/>
      <c r="R21" s="17"/>
      <c r="S21" s="17"/>
      <c r="T21" s="17"/>
      <c r="U21" s="17"/>
      <c r="V21" s="17"/>
      <c r="W21" s="17"/>
      <c r="X21" s="17"/>
      <c r="Y21" s="17"/>
      <c r="Z21" s="104"/>
      <c r="AA21" s="442"/>
      <c r="AB21" s="585"/>
      <c r="AC21" s="17"/>
      <c r="AD21" s="17"/>
      <c r="AE21" s="15"/>
      <c r="AF21" s="134"/>
      <c r="AG21" s="586"/>
      <c r="AH21" s="134"/>
    </row>
    <row r="22" spans="1:31" ht="15">
      <c r="A22" s="428" t="s">
        <v>402</v>
      </c>
      <c r="C22" s="18"/>
      <c r="D22" s="133"/>
      <c r="E22" s="17"/>
      <c r="F22" s="17"/>
      <c r="G22" s="17"/>
      <c r="H22" s="17"/>
      <c r="I22" s="17"/>
      <c r="J22" s="17"/>
      <c r="K22" s="17"/>
      <c r="L22" s="17"/>
      <c r="M22" s="17"/>
      <c r="N22" s="17"/>
      <c r="O22" s="17"/>
      <c r="P22" s="17"/>
      <c r="Q22" s="17"/>
      <c r="R22" s="17"/>
      <c r="S22" s="17"/>
      <c r="T22" s="17"/>
      <c r="U22" s="17"/>
      <c r="V22" s="17"/>
      <c r="W22" s="17"/>
      <c r="X22" s="17"/>
      <c r="Y22" s="17"/>
      <c r="Z22" s="104"/>
      <c r="AA22" s="442"/>
      <c r="AB22" s="585"/>
      <c r="AC22" s="17"/>
      <c r="AD22" s="17"/>
      <c r="AE22" s="15"/>
    </row>
    <row r="23" spans="2:34" s="18" customFormat="1" ht="15">
      <c r="B23" s="428" t="s">
        <v>393</v>
      </c>
      <c r="D23" s="133"/>
      <c r="E23" s="17"/>
      <c r="F23" s="17"/>
      <c r="G23" s="17"/>
      <c r="H23" s="17"/>
      <c r="I23" s="17"/>
      <c r="J23" s="17"/>
      <c r="K23" s="17"/>
      <c r="L23" s="17"/>
      <c r="M23" s="17"/>
      <c r="N23" s="17"/>
      <c r="O23" s="17"/>
      <c r="P23" s="17"/>
      <c r="Q23" s="17"/>
      <c r="R23" s="17"/>
      <c r="S23" s="17"/>
      <c r="T23" s="17"/>
      <c r="U23" s="17"/>
      <c r="V23" s="561" t="s">
        <v>405</v>
      </c>
      <c r="W23" s="561" t="s">
        <v>405</v>
      </c>
      <c r="X23" s="561" t="s">
        <v>405</v>
      </c>
      <c r="Y23" s="561" t="s">
        <v>405</v>
      </c>
      <c r="Z23" s="505">
        <v>12.9</v>
      </c>
      <c r="AA23" s="505">
        <v>12.9</v>
      </c>
      <c r="AB23" s="587">
        <v>13.3</v>
      </c>
      <c r="AC23" s="17">
        <f>IF(AND(AB23=0,AB23=0),0,IF(OR(AND(AB23&gt;0,AA23&lt;=0),AND(AB23&lt;0,AA23&gt;=0)),"nm",IF(AND(AB23&lt;0,AA23&lt;0),IF(-(AB23/AA23-1)*100&lt;-100,"(&gt;100)",-(AB23/AA23-1)*100),IF((AB23/AA23-1)*100&gt;100,"&gt;100",(AB23/AA23-1)*100))))</f>
        <v>3.100775193798455</v>
      </c>
      <c r="AD23" s="17" t="s">
        <v>424</v>
      </c>
      <c r="AE23" s="15"/>
      <c r="AF23" s="104" t="str">
        <f>X23</f>
        <v>NA</v>
      </c>
      <c r="AG23" s="400">
        <f>AB23</f>
        <v>13.3</v>
      </c>
      <c r="AH23" s="17" t="s">
        <v>424</v>
      </c>
    </row>
    <row r="24" spans="2:34" s="18" customFormat="1" ht="15">
      <c r="B24" s="428" t="s">
        <v>118</v>
      </c>
      <c r="D24" s="133"/>
      <c r="E24" s="17"/>
      <c r="F24" s="17"/>
      <c r="G24" s="17"/>
      <c r="H24" s="17"/>
      <c r="I24" s="17"/>
      <c r="J24" s="17"/>
      <c r="K24" s="17"/>
      <c r="L24" s="17"/>
      <c r="M24" s="17"/>
      <c r="N24" s="17"/>
      <c r="O24" s="17"/>
      <c r="P24" s="17"/>
      <c r="Q24" s="17"/>
      <c r="R24" s="17"/>
      <c r="S24" s="17"/>
      <c r="T24" s="17"/>
      <c r="U24" s="17"/>
      <c r="V24" s="561">
        <v>12.7</v>
      </c>
      <c r="W24" s="561">
        <v>12.8</v>
      </c>
      <c r="X24" s="561">
        <v>13.4</v>
      </c>
      <c r="Y24" s="561">
        <v>14</v>
      </c>
      <c r="Z24" s="505">
        <v>12.9</v>
      </c>
      <c r="AA24" s="505">
        <v>12.9</v>
      </c>
      <c r="AB24" s="587">
        <v>13.3</v>
      </c>
      <c r="AC24" s="17">
        <f>IF(AND(AB24=0,AB24=0),0,IF(OR(AND(AB24&gt;0,AA24&lt;=0),AND(AB24&lt;0,AA24&gt;=0)),"nm",IF(AND(AB24&lt;0,AA24&lt;0),IF(-(AB24/AA24-1)*100&lt;-100,"(&gt;100)",-(AB24/AA24-1)*100),IF((AB24/AA24-1)*100&gt;100,"&gt;100",(AB24/AA24-1)*100))))</f>
        <v>3.100775193798455</v>
      </c>
      <c r="AD24" s="17">
        <f>IF(AND(AB24=0,X24=0),0,IF(OR(AND(AB24&gt;0,X24&lt;=0),AND(AB24&lt;0,X24&gt;=0)),"nm",IF(AND(AB24&lt;0,X24&lt;0),IF(-(AB24/X24-1)*100&lt;-100,"(&gt;100)",-(AB24/X24-1)*100),IF((AB24/X24-1)*100&gt;100,"&gt;100",(AB24/X24-1)*100))))</f>
        <v>-0.7462686567164201</v>
      </c>
      <c r="AE24" s="15"/>
      <c r="AF24" s="104">
        <f>X24</f>
        <v>13.4</v>
      </c>
      <c r="AG24" s="400">
        <f>AB24</f>
        <v>13.3</v>
      </c>
      <c r="AH24" s="17">
        <f>IF(AND(AG24=0,AF24=0),0,IF(OR(AND(AG24&gt;0,AF24&lt;=0),AND(AG24&lt;0,AF24&gt;=0)),"nm",IF(AND(AG24&lt;0,AF24&lt;0),IF(-(AG24/AF24-1)*100&lt;-100,"(&gt;100)",-(AG24/AF24-1)*100),IF((AG24/AF24-1)*100&gt;100,"&gt;100",(AG24/AF24-1)*100))))</f>
        <v>-0.7462686567164201</v>
      </c>
    </row>
    <row r="25" spans="2:34" s="18" customFormat="1" ht="15">
      <c r="B25" s="428" t="s">
        <v>403</v>
      </c>
      <c r="D25" s="133"/>
      <c r="E25" s="17"/>
      <c r="F25" s="17"/>
      <c r="G25" s="17"/>
      <c r="H25" s="17"/>
      <c r="I25" s="17"/>
      <c r="J25" s="17"/>
      <c r="K25" s="17"/>
      <c r="L25" s="17"/>
      <c r="M25" s="17"/>
      <c r="N25" s="17"/>
      <c r="O25" s="17"/>
      <c r="P25" s="17"/>
      <c r="Q25" s="17"/>
      <c r="R25" s="17"/>
      <c r="S25" s="17"/>
      <c r="T25" s="17"/>
      <c r="U25" s="17"/>
      <c r="V25" s="561">
        <v>16.4</v>
      </c>
      <c r="W25" s="561">
        <v>15.4</v>
      </c>
      <c r="X25" s="561">
        <v>16.5</v>
      </c>
      <c r="Y25" s="561">
        <v>17.1</v>
      </c>
      <c r="Z25" s="505">
        <v>15.5</v>
      </c>
      <c r="AA25" s="505">
        <v>15.5</v>
      </c>
      <c r="AB25" s="587">
        <v>15.9</v>
      </c>
      <c r="AC25" s="17">
        <f>IF(AND(AB25=0,AB25=0),0,IF(OR(AND(AB25&gt;0,AA25&lt;=0),AND(AB25&lt;0,AA25&gt;=0)),"nm",IF(AND(AB25&lt;0,AA25&lt;0),IF(-(AB25/AA25-1)*100&lt;-100,"(&gt;100)",-(AB25/AA25-1)*100),IF((AB25/AA25-1)*100&gt;100,"&gt;100",(AB25/AA25-1)*100))))</f>
        <v>2.580645161290329</v>
      </c>
      <c r="AD25" s="17">
        <f>IF(AND(AB25=0,X25=0),0,IF(OR(AND(AB25&gt;0,X25&lt;=0),AND(AB25&lt;0,X25&gt;=0)),"nm",IF(AND(AB25&lt;0,X25&lt;0),IF(-(AB25/X25-1)*100&lt;-100,"(&gt;100)",-(AB25/X25-1)*100),IF((AB25/X25-1)*100&gt;100,"&gt;100",(AB25/X25-1)*100))))</f>
        <v>-3.6363636363636376</v>
      </c>
      <c r="AE25" s="15"/>
      <c r="AF25" s="104">
        <f>X25</f>
        <v>16.5</v>
      </c>
      <c r="AG25" s="400">
        <f>AB25</f>
        <v>15.9</v>
      </c>
      <c r="AH25" s="17">
        <f>IF(AND(AG25=0,AF25=0),0,IF(OR(AND(AG25&gt;0,AF25&lt;=0),AND(AG25&lt;0,AF25&gt;=0)),"nm",IF(AND(AG25&lt;0,AF25&lt;0),IF(-(AG25/AF25-1)*100&lt;-100,"(&gt;100)",-(AG25/AF25-1)*100),IF((AG25/AF25-1)*100&gt;100,"&gt;100",(AG25/AF25-1)*100))))</f>
        <v>-3.6363636363636376</v>
      </c>
    </row>
    <row r="26" spans="2:36" s="24" customFormat="1" ht="6" customHeight="1">
      <c r="B26" s="31"/>
      <c r="D26" s="133"/>
      <c r="E26" s="17"/>
      <c r="F26" s="17"/>
      <c r="G26" s="17"/>
      <c r="H26" s="17"/>
      <c r="I26" s="17"/>
      <c r="J26" s="17"/>
      <c r="K26" s="17"/>
      <c r="L26" s="17"/>
      <c r="M26" s="17"/>
      <c r="N26" s="17"/>
      <c r="O26" s="17"/>
      <c r="P26" s="17"/>
      <c r="Q26" s="17"/>
      <c r="R26" s="17"/>
      <c r="S26" s="17"/>
      <c r="T26" s="17"/>
      <c r="U26" s="17"/>
      <c r="V26" s="561"/>
      <c r="W26" s="561"/>
      <c r="X26" s="561"/>
      <c r="Y26" s="561"/>
      <c r="Z26" s="562"/>
      <c r="AA26" s="505"/>
      <c r="AB26" s="587"/>
      <c r="AC26" s="17"/>
      <c r="AD26" s="17"/>
      <c r="AF26" s="17"/>
      <c r="AG26" s="400"/>
      <c r="AH26" s="17"/>
      <c r="AI26" s="18"/>
      <c r="AJ26" s="18"/>
    </row>
    <row r="27" spans="2:34" s="18" customFormat="1" ht="15">
      <c r="B27" s="18" t="s">
        <v>404</v>
      </c>
      <c r="D27" s="133"/>
      <c r="E27" s="17"/>
      <c r="F27" s="17"/>
      <c r="G27" s="17"/>
      <c r="H27" s="17"/>
      <c r="I27" s="17"/>
      <c r="J27" s="17"/>
      <c r="K27" s="17"/>
      <c r="L27" s="17"/>
      <c r="M27" s="17"/>
      <c r="N27" s="17"/>
      <c r="O27" s="17"/>
      <c r="P27" s="17"/>
      <c r="Q27" s="17"/>
      <c r="R27" s="17"/>
      <c r="S27" s="17"/>
      <c r="T27" s="17"/>
      <c r="U27" s="17"/>
      <c r="V27" s="561" t="s">
        <v>405</v>
      </c>
      <c r="W27" s="561" t="s">
        <v>405</v>
      </c>
      <c r="X27" s="561" t="s">
        <v>405</v>
      </c>
      <c r="Y27" s="561" t="s">
        <v>405</v>
      </c>
      <c r="Z27" s="505">
        <v>11.3</v>
      </c>
      <c r="AA27" s="505">
        <v>11.3</v>
      </c>
      <c r="AB27" s="587">
        <v>11.7</v>
      </c>
      <c r="AC27" s="17">
        <f>IF(AND(AB27=0,AB27=0),0,IF(OR(AND(AB27&gt;0,AA27&lt;=0),AND(AB27&lt;0,AA27&gt;=0)),"nm",IF(AND(AB27&lt;0,AA27&lt;0),IF(-(AB27/AA27-1)*100&lt;-100,"(&gt;100)",-(AB27/AA27-1)*100),IF((AB27/AA27-1)*100&gt;100,"&gt;100",(AB27/AA27-1)*100))))</f>
        <v>3.539823008849541</v>
      </c>
      <c r="AD27" s="17" t="s">
        <v>424</v>
      </c>
      <c r="AE27" s="15"/>
      <c r="AF27" s="104" t="str">
        <f>X27</f>
        <v>NA</v>
      </c>
      <c r="AG27" s="400">
        <f>AB27</f>
        <v>11.7</v>
      </c>
      <c r="AH27" s="17" t="s">
        <v>424</v>
      </c>
    </row>
    <row r="28" spans="2:36" s="26" customFormat="1" ht="14.25">
      <c r="B28" s="36"/>
      <c r="D28" s="132"/>
      <c r="E28" s="75"/>
      <c r="F28" s="75"/>
      <c r="G28" s="75"/>
      <c r="H28" s="121"/>
      <c r="I28" s="75"/>
      <c r="J28" s="75"/>
      <c r="K28" s="75"/>
      <c r="L28" s="75"/>
      <c r="M28" s="75"/>
      <c r="N28" s="75"/>
      <c r="O28" s="75"/>
      <c r="P28" s="75"/>
      <c r="Q28" s="75"/>
      <c r="R28" s="75"/>
      <c r="S28" s="75"/>
      <c r="T28" s="75"/>
      <c r="U28" s="75"/>
      <c r="V28" s="121"/>
      <c r="W28" s="75"/>
      <c r="X28" s="75"/>
      <c r="Y28" s="75"/>
      <c r="Z28" s="481"/>
      <c r="AA28" s="481"/>
      <c r="AB28" s="153"/>
      <c r="AC28" s="121"/>
      <c r="AD28" s="121"/>
      <c r="AE28" s="23"/>
      <c r="AF28" s="121"/>
      <c r="AG28" s="122"/>
      <c r="AH28" s="121"/>
      <c r="AI28" s="20"/>
      <c r="AJ28" s="20"/>
    </row>
    <row r="29" spans="2:36" s="18" customFormat="1" ht="15">
      <c r="B29" s="106"/>
      <c r="D29" s="133"/>
      <c r="E29" s="17"/>
      <c r="F29" s="17"/>
      <c r="G29" s="17"/>
      <c r="H29" s="17"/>
      <c r="I29" s="17"/>
      <c r="J29" s="17"/>
      <c r="K29" s="17"/>
      <c r="L29" s="17"/>
      <c r="M29" s="17"/>
      <c r="N29" s="17"/>
      <c r="O29" s="17"/>
      <c r="P29" s="17"/>
      <c r="Q29" s="17"/>
      <c r="R29" s="17"/>
      <c r="S29" s="17"/>
      <c r="T29" s="17"/>
      <c r="U29" s="17"/>
      <c r="V29" s="17"/>
      <c r="W29" s="17"/>
      <c r="X29" s="17"/>
      <c r="Y29" s="17"/>
      <c r="Z29" s="17"/>
      <c r="AA29" s="169"/>
      <c r="AB29" s="125"/>
      <c r="AC29" s="17"/>
      <c r="AD29" s="17"/>
      <c r="AE29" s="15"/>
      <c r="AF29" s="121"/>
      <c r="AG29" s="122"/>
      <c r="AH29" s="121"/>
      <c r="AI29" s="20"/>
      <c r="AJ29" s="20"/>
    </row>
    <row r="30" spans="2:28" ht="15">
      <c r="B30" s="38"/>
      <c r="D30" s="140"/>
      <c r="Z30" s="441"/>
      <c r="AA30" s="506"/>
      <c r="AB30" s="586"/>
    </row>
    <row r="31" spans="1:28" ht="15">
      <c r="A31" s="46" t="s">
        <v>226</v>
      </c>
      <c r="B31" s="38"/>
      <c r="Z31" s="483"/>
      <c r="AA31" s="506"/>
      <c r="AB31" s="586"/>
    </row>
    <row r="32" spans="2:36" s="62" customFormat="1" ht="15">
      <c r="B32" s="62" t="s">
        <v>126</v>
      </c>
      <c r="D32" s="134">
        <v>10.1</v>
      </c>
      <c r="E32" s="134">
        <v>13.1</v>
      </c>
      <c r="F32" s="134">
        <v>15.1</v>
      </c>
      <c r="G32" s="134">
        <v>12.9</v>
      </c>
      <c r="H32" s="134">
        <v>14</v>
      </c>
      <c r="I32" s="134"/>
      <c r="J32" s="134">
        <v>12.5</v>
      </c>
      <c r="K32" s="134">
        <v>12.6</v>
      </c>
      <c r="L32" s="134">
        <v>12.5</v>
      </c>
      <c r="M32" s="134">
        <v>13.1</v>
      </c>
      <c r="N32" s="134">
        <v>13.4</v>
      </c>
      <c r="O32" s="134">
        <v>13.1</v>
      </c>
      <c r="P32" s="134">
        <v>13.1</v>
      </c>
      <c r="Q32" s="134">
        <v>15.1</v>
      </c>
      <c r="R32" s="134">
        <v>14.2</v>
      </c>
      <c r="S32" s="134">
        <v>13.5</v>
      </c>
      <c r="T32" s="134">
        <v>12.6</v>
      </c>
      <c r="U32" s="134">
        <v>12.9</v>
      </c>
      <c r="V32" s="377">
        <v>12.7</v>
      </c>
      <c r="W32" s="377">
        <v>12.8</v>
      </c>
      <c r="X32" s="377">
        <v>13.4</v>
      </c>
      <c r="Y32" s="377">
        <v>14</v>
      </c>
      <c r="Z32" s="482"/>
      <c r="AA32" s="507"/>
      <c r="AB32" s="586"/>
      <c r="AC32" s="134"/>
      <c r="AD32" s="134"/>
      <c r="AE32" s="65"/>
      <c r="AF32" s="482">
        <f>X32</f>
        <v>13.4</v>
      </c>
      <c r="AG32" s="400"/>
      <c r="AH32" s="121"/>
      <c r="AI32" s="20"/>
      <c r="AJ32" s="20"/>
    </row>
    <row r="33" spans="2:36" s="62" customFormat="1" ht="15">
      <c r="B33" s="62" t="s">
        <v>127</v>
      </c>
      <c r="D33" s="134">
        <v>3.9</v>
      </c>
      <c r="E33" s="134">
        <v>3.6</v>
      </c>
      <c r="F33" s="134">
        <v>3.3</v>
      </c>
      <c r="G33" s="134">
        <v>2.9</v>
      </c>
      <c r="H33" s="134">
        <v>3.1000000000000014</v>
      </c>
      <c r="I33" s="134"/>
      <c r="J33" s="134">
        <v>4.2</v>
      </c>
      <c r="K33" s="134">
        <v>3.6</v>
      </c>
      <c r="L33" s="134">
        <v>3.6</v>
      </c>
      <c r="M33" s="134">
        <v>3.6</v>
      </c>
      <c r="N33" s="134">
        <v>3.7</v>
      </c>
      <c r="O33" s="134">
        <v>3.4</v>
      </c>
      <c r="P33" s="134">
        <v>3.2</v>
      </c>
      <c r="Q33" s="134">
        <v>3.3</v>
      </c>
      <c r="R33" s="134">
        <v>3</v>
      </c>
      <c r="S33" s="134">
        <v>3</v>
      </c>
      <c r="T33" s="134">
        <v>2.9</v>
      </c>
      <c r="U33" s="134">
        <v>2.9</v>
      </c>
      <c r="V33" s="377">
        <v>3.7</v>
      </c>
      <c r="W33" s="377">
        <v>2.5999999999999996</v>
      </c>
      <c r="X33" s="377">
        <v>3.1</v>
      </c>
      <c r="Y33" s="377">
        <v>3.1000000000000014</v>
      </c>
      <c r="Z33" s="482"/>
      <c r="AA33" s="507"/>
      <c r="AB33" s="586"/>
      <c r="AC33" s="134"/>
      <c r="AD33" s="134"/>
      <c r="AE33" s="65"/>
      <c r="AF33" s="482">
        <f>X33</f>
        <v>3.1</v>
      </c>
      <c r="AG33" s="400"/>
      <c r="AH33" s="121"/>
      <c r="AI33" s="20"/>
      <c r="AJ33" s="20"/>
    </row>
    <row r="34" spans="2:36" s="62" customFormat="1" ht="15">
      <c r="B34" s="62" t="s">
        <v>128</v>
      </c>
      <c r="D34" s="134">
        <v>14</v>
      </c>
      <c r="E34" s="134">
        <v>16.7</v>
      </c>
      <c r="F34" s="134">
        <v>18.4</v>
      </c>
      <c r="G34" s="134">
        <v>15.8</v>
      </c>
      <c r="H34" s="134">
        <v>17.1</v>
      </c>
      <c r="I34" s="134"/>
      <c r="J34" s="134">
        <v>16.7</v>
      </c>
      <c r="K34" s="134">
        <f>SUM(K32:K33)</f>
        <v>16.2</v>
      </c>
      <c r="L34" s="134">
        <v>16.1</v>
      </c>
      <c r="M34" s="134">
        <v>16.7</v>
      </c>
      <c r="N34" s="134">
        <v>17.1</v>
      </c>
      <c r="O34" s="134">
        <v>16.5</v>
      </c>
      <c r="P34" s="134">
        <v>16.3</v>
      </c>
      <c r="Q34" s="134">
        <v>18.4</v>
      </c>
      <c r="R34" s="134">
        <v>17.2</v>
      </c>
      <c r="S34" s="134">
        <v>16.5</v>
      </c>
      <c r="T34" s="134">
        <v>15.5</v>
      </c>
      <c r="U34" s="134">
        <v>15.8</v>
      </c>
      <c r="V34" s="377">
        <v>16.4</v>
      </c>
      <c r="W34" s="377">
        <v>15.4</v>
      </c>
      <c r="X34" s="377">
        <v>16.5</v>
      </c>
      <c r="Y34" s="377">
        <v>17.1</v>
      </c>
      <c r="Z34" s="482"/>
      <c r="AA34" s="507"/>
      <c r="AB34" s="586"/>
      <c r="AC34" s="134"/>
      <c r="AD34" s="134"/>
      <c r="AE34" s="65"/>
      <c r="AF34" s="482">
        <f>X34</f>
        <v>16.5</v>
      </c>
      <c r="AG34" s="400"/>
      <c r="AH34" s="121"/>
      <c r="AI34" s="20"/>
      <c r="AJ34" s="20"/>
    </row>
    <row r="35" ht="14.25">
      <c r="AA35" s="171"/>
    </row>
    <row r="36" spans="8:27" ht="14.25">
      <c r="H36" s="171"/>
      <c r="AA36" s="171"/>
    </row>
    <row r="37" spans="1:28" ht="15">
      <c r="A37" s="46" t="s">
        <v>224</v>
      </c>
      <c r="B37" s="38"/>
      <c r="Z37" s="140"/>
      <c r="AA37" s="159"/>
      <c r="AB37" s="153"/>
    </row>
    <row r="38" spans="1:28" ht="15">
      <c r="A38" s="18" t="s">
        <v>125</v>
      </c>
      <c r="C38" s="20"/>
      <c r="D38" s="121"/>
      <c r="Z38" s="140"/>
      <c r="AA38" s="159"/>
      <c r="AB38" s="153"/>
    </row>
    <row r="39" spans="2:34" s="18" customFormat="1" ht="15">
      <c r="B39" s="18" t="s">
        <v>118</v>
      </c>
      <c r="D39" s="17"/>
      <c r="E39" s="17"/>
      <c r="F39" s="17"/>
      <c r="G39" s="17"/>
      <c r="H39" s="17"/>
      <c r="I39" s="17"/>
      <c r="J39" s="17"/>
      <c r="K39" s="17"/>
      <c r="L39" s="17"/>
      <c r="M39" s="17"/>
      <c r="N39" s="17"/>
      <c r="O39" s="17"/>
      <c r="P39" s="17"/>
      <c r="Q39" s="17"/>
      <c r="R39" s="17"/>
      <c r="S39" s="17"/>
      <c r="T39" s="17"/>
      <c r="U39" s="17"/>
      <c r="V39" s="17"/>
      <c r="W39" s="17"/>
      <c r="X39" s="17"/>
      <c r="Y39" s="17"/>
      <c r="Z39" s="104"/>
      <c r="AA39" s="442"/>
      <c r="AB39" s="585"/>
      <c r="AC39" s="17"/>
      <c r="AD39" s="17"/>
      <c r="AE39" s="15"/>
      <c r="AF39" s="121"/>
      <c r="AG39" s="122"/>
      <c r="AH39" s="121"/>
    </row>
    <row r="40" spans="3:32" ht="14.25">
      <c r="C40" s="20" t="s">
        <v>119</v>
      </c>
      <c r="D40" s="139">
        <v>4215</v>
      </c>
      <c r="E40" s="121">
        <v>8435</v>
      </c>
      <c r="F40" s="121">
        <v>8780</v>
      </c>
      <c r="G40" s="121">
        <v>9350</v>
      </c>
      <c r="H40" s="121">
        <v>9645</v>
      </c>
      <c r="J40" s="121">
        <v>8423</v>
      </c>
      <c r="K40" s="121">
        <v>8424</v>
      </c>
      <c r="L40" s="121">
        <v>8432</v>
      </c>
      <c r="M40" s="121">
        <v>8435</v>
      </c>
      <c r="N40" s="121">
        <v>8440</v>
      </c>
      <c r="O40" s="121">
        <v>8650</v>
      </c>
      <c r="P40" s="121">
        <v>8775</v>
      </c>
      <c r="Q40" s="121">
        <v>8780</v>
      </c>
      <c r="R40" s="121">
        <v>8784</v>
      </c>
      <c r="S40" s="121">
        <v>9256</v>
      </c>
      <c r="T40" s="121">
        <v>9347</v>
      </c>
      <c r="U40" s="121">
        <v>9350</v>
      </c>
      <c r="V40" s="121">
        <v>9370</v>
      </c>
      <c r="W40" s="121">
        <v>9537</v>
      </c>
      <c r="X40" s="121">
        <v>9642</v>
      </c>
      <c r="Y40" s="121">
        <v>9645</v>
      </c>
      <c r="Z40" s="440"/>
      <c r="AA40" s="481"/>
      <c r="AB40" s="153"/>
      <c r="AF40" s="140">
        <f>X40</f>
        <v>9642</v>
      </c>
    </row>
    <row r="41" spans="3:32" ht="14.25">
      <c r="C41" s="20" t="s">
        <v>120</v>
      </c>
      <c r="D41" s="139">
        <v>20180</v>
      </c>
      <c r="E41" s="121">
        <v>20928</v>
      </c>
      <c r="F41" s="121">
        <v>23927</v>
      </c>
      <c r="G41" s="121">
        <v>23308</v>
      </c>
      <c r="H41" s="121">
        <v>25724</v>
      </c>
      <c r="J41" s="121">
        <v>20429</v>
      </c>
      <c r="K41" s="121">
        <v>20557</v>
      </c>
      <c r="L41" s="121">
        <v>20761</v>
      </c>
      <c r="M41" s="121">
        <v>20928</v>
      </c>
      <c r="N41" s="121">
        <v>21194</v>
      </c>
      <c r="O41" s="121">
        <v>20547</v>
      </c>
      <c r="P41" s="121">
        <v>20851</v>
      </c>
      <c r="Q41" s="121">
        <v>23927</v>
      </c>
      <c r="R41" s="121">
        <v>23103</v>
      </c>
      <c r="S41" s="121">
        <v>22596</v>
      </c>
      <c r="T41" s="121">
        <v>22670</v>
      </c>
      <c r="U41" s="121">
        <v>23308</v>
      </c>
      <c r="V41" s="121">
        <v>23625</v>
      </c>
      <c r="W41" s="121">
        <v>24391</v>
      </c>
      <c r="X41" s="121">
        <v>24581</v>
      </c>
      <c r="Y41" s="121">
        <v>25724</v>
      </c>
      <c r="Z41" s="440"/>
      <c r="AA41" s="481"/>
      <c r="AB41" s="153"/>
      <c r="AF41" s="140">
        <f>X41</f>
        <v>24581</v>
      </c>
    </row>
    <row r="42" spans="3:32" ht="14.25">
      <c r="C42" s="20" t="s">
        <v>325</v>
      </c>
      <c r="D42" s="139">
        <v>-6022</v>
      </c>
      <c r="E42" s="121">
        <v>-6098</v>
      </c>
      <c r="F42" s="121">
        <v>-5064</v>
      </c>
      <c r="G42" s="121">
        <v>-5123</v>
      </c>
      <c r="H42" s="121">
        <v>-5173</v>
      </c>
      <c r="J42" s="121">
        <v>-6034</v>
      </c>
      <c r="K42" s="121">
        <v>-6068</v>
      </c>
      <c r="L42" s="121">
        <v>-6053</v>
      </c>
      <c r="M42" s="121">
        <v>-6098</v>
      </c>
      <c r="N42" s="121">
        <v>-6084</v>
      </c>
      <c r="O42" s="121">
        <v>-5044</v>
      </c>
      <c r="P42" s="121">
        <v>-5073</v>
      </c>
      <c r="Q42" s="121">
        <v>-5064</v>
      </c>
      <c r="R42" s="121">
        <v>-5051</v>
      </c>
      <c r="S42" s="121">
        <v>-5025</v>
      </c>
      <c r="T42" s="121">
        <v>-5029</v>
      </c>
      <c r="U42" s="121">
        <v>-5123</v>
      </c>
      <c r="V42" s="121">
        <v>-5125</v>
      </c>
      <c r="W42" s="121">
        <v>-5112</v>
      </c>
      <c r="X42" s="121">
        <v>-5097</v>
      </c>
      <c r="Y42" s="121">
        <v>-5173</v>
      </c>
      <c r="Z42" s="440"/>
      <c r="AA42" s="481"/>
      <c r="AB42" s="153"/>
      <c r="AF42" s="140">
        <f>X42</f>
        <v>-5097</v>
      </c>
    </row>
    <row r="43" spans="2:33" ht="15">
      <c r="B43" s="18" t="s">
        <v>121</v>
      </c>
      <c r="C43" s="20"/>
      <c r="D43" s="139"/>
      <c r="Z43" s="440"/>
      <c r="AA43" s="481"/>
      <c r="AB43" s="490"/>
      <c r="AG43" s="489"/>
    </row>
    <row r="44" spans="2:33" ht="14.25">
      <c r="B44" s="102"/>
      <c r="C44" s="20" t="s">
        <v>122</v>
      </c>
      <c r="D44" s="139">
        <v>656</v>
      </c>
      <c r="E44" s="121">
        <v>434</v>
      </c>
      <c r="F44" s="121">
        <v>696</v>
      </c>
      <c r="G44" s="121">
        <v>1151</v>
      </c>
      <c r="H44" s="121">
        <v>1283</v>
      </c>
      <c r="J44" s="121">
        <v>734</v>
      </c>
      <c r="K44" s="121">
        <v>580</v>
      </c>
      <c r="L44" s="121">
        <v>623</v>
      </c>
      <c r="M44" s="121">
        <v>434</v>
      </c>
      <c r="N44" s="121">
        <v>662</v>
      </c>
      <c r="O44" s="121">
        <v>757</v>
      </c>
      <c r="P44" s="121">
        <v>482</v>
      </c>
      <c r="Q44" s="121">
        <v>696</v>
      </c>
      <c r="R44" s="121">
        <v>667</v>
      </c>
      <c r="S44" s="121">
        <v>820</v>
      </c>
      <c r="T44" s="121">
        <v>1001</v>
      </c>
      <c r="U44" s="121">
        <v>1151</v>
      </c>
      <c r="V44" s="121">
        <v>1237</v>
      </c>
      <c r="W44" s="121">
        <v>1315</v>
      </c>
      <c r="X44" s="121">
        <v>1280</v>
      </c>
      <c r="Y44" s="121">
        <v>1283</v>
      </c>
      <c r="Z44" s="440"/>
      <c r="AA44" s="481"/>
      <c r="AB44" s="490"/>
      <c r="AC44" s="75"/>
      <c r="AD44" s="75"/>
      <c r="AF44" s="140">
        <f>X44</f>
        <v>1280</v>
      </c>
      <c r="AG44" s="489"/>
    </row>
    <row r="45" spans="2:33" ht="14.25">
      <c r="B45" s="102"/>
      <c r="C45" s="20" t="s">
        <v>123</v>
      </c>
      <c r="D45" s="139">
        <v>6571</v>
      </c>
      <c r="E45" s="121">
        <v>5970</v>
      </c>
      <c r="F45" s="121">
        <v>5281</v>
      </c>
      <c r="G45" s="121">
        <v>5305</v>
      </c>
      <c r="H45" s="121">
        <v>5505</v>
      </c>
      <c r="J45" s="121">
        <v>6901</v>
      </c>
      <c r="K45" s="121">
        <v>6140</v>
      </c>
      <c r="L45" s="121">
        <v>6025</v>
      </c>
      <c r="M45" s="121">
        <v>5970</v>
      </c>
      <c r="N45" s="121">
        <v>5955</v>
      </c>
      <c r="O45" s="121">
        <v>5714</v>
      </c>
      <c r="P45" s="121">
        <v>5415</v>
      </c>
      <c r="Q45" s="121">
        <v>5281</v>
      </c>
      <c r="R45" s="121">
        <v>5174</v>
      </c>
      <c r="S45" s="121">
        <v>5058</v>
      </c>
      <c r="T45" s="121">
        <v>5309</v>
      </c>
      <c r="U45" s="121">
        <v>5305</v>
      </c>
      <c r="V45" s="121">
        <v>7071</v>
      </c>
      <c r="W45" s="121">
        <v>4616</v>
      </c>
      <c r="X45" s="121">
        <v>5507</v>
      </c>
      <c r="Y45" s="121">
        <v>5505</v>
      </c>
      <c r="Z45" s="440"/>
      <c r="AA45" s="481"/>
      <c r="AB45" s="490"/>
      <c r="AC45" s="75"/>
      <c r="AD45" s="75"/>
      <c r="AF45" s="140">
        <f>X45</f>
        <v>5507</v>
      </c>
      <c r="AG45" s="489"/>
    </row>
    <row r="46" spans="3:33" ht="14.25">
      <c r="C46" s="20" t="s">
        <v>124</v>
      </c>
      <c r="D46" s="139">
        <v>27</v>
      </c>
      <c r="E46" s="121">
        <v>87</v>
      </c>
      <c r="F46" s="121">
        <v>149</v>
      </c>
      <c r="G46" s="121">
        <v>29</v>
      </c>
      <c r="H46" s="121">
        <v>95</v>
      </c>
      <c r="J46" s="121">
        <v>16</v>
      </c>
      <c r="K46" s="121">
        <v>42</v>
      </c>
      <c r="L46" s="121">
        <v>65</v>
      </c>
      <c r="M46" s="121">
        <v>87</v>
      </c>
      <c r="N46" s="121">
        <v>102</v>
      </c>
      <c r="O46" s="121">
        <v>94</v>
      </c>
      <c r="P46" s="121">
        <v>171</v>
      </c>
      <c r="Q46" s="121">
        <v>149</v>
      </c>
      <c r="R46" s="121">
        <v>112</v>
      </c>
      <c r="S46" s="121">
        <v>79</v>
      </c>
      <c r="T46" s="121">
        <v>28</v>
      </c>
      <c r="U46" s="121">
        <v>29</v>
      </c>
      <c r="V46" s="121">
        <v>62</v>
      </c>
      <c r="W46" s="121">
        <v>46</v>
      </c>
      <c r="X46" s="121">
        <v>79</v>
      </c>
      <c r="Y46" s="121">
        <v>95</v>
      </c>
      <c r="Z46" s="440"/>
      <c r="AA46" s="481"/>
      <c r="AB46" s="490"/>
      <c r="AC46" s="75"/>
      <c r="AD46" s="75"/>
      <c r="AF46" s="140">
        <f>X46</f>
        <v>79</v>
      </c>
      <c r="AG46" s="489"/>
    </row>
    <row r="47" spans="2:36" s="26" customFormat="1" ht="14.25">
      <c r="B47" s="36"/>
      <c r="C47" s="26" t="s">
        <v>326</v>
      </c>
      <c r="D47" s="132">
        <v>-106</v>
      </c>
      <c r="E47" s="75">
        <v>-128</v>
      </c>
      <c r="F47" s="75">
        <v>-142</v>
      </c>
      <c r="G47" s="75">
        <v>-192</v>
      </c>
      <c r="H47" s="121">
        <v>-248</v>
      </c>
      <c r="I47" s="75"/>
      <c r="J47" s="75">
        <v>-112</v>
      </c>
      <c r="K47" s="75">
        <v>-136</v>
      </c>
      <c r="L47" s="75">
        <v>-124</v>
      </c>
      <c r="M47" s="75">
        <v>-128</v>
      </c>
      <c r="N47" s="75">
        <v>-142</v>
      </c>
      <c r="O47" s="75">
        <v>-139</v>
      </c>
      <c r="P47" s="75">
        <v>-143</v>
      </c>
      <c r="Q47" s="75">
        <v>-142</v>
      </c>
      <c r="R47" s="75">
        <v>-134</v>
      </c>
      <c r="S47" s="75">
        <v>-101</v>
      </c>
      <c r="T47" s="75">
        <v>-111</v>
      </c>
      <c r="U47" s="75">
        <v>-192</v>
      </c>
      <c r="V47" s="75">
        <v>-189</v>
      </c>
      <c r="W47" s="75">
        <v>-168</v>
      </c>
      <c r="X47" s="75">
        <v>-155</v>
      </c>
      <c r="Y47" s="75">
        <v>-248</v>
      </c>
      <c r="Z47" s="440"/>
      <c r="AA47" s="481"/>
      <c r="AB47" s="490"/>
      <c r="AC47" s="75"/>
      <c r="AD47" s="75"/>
      <c r="AF47" s="140">
        <f>X47</f>
        <v>-155</v>
      </c>
      <c r="AG47" s="489"/>
      <c r="AH47" s="121"/>
      <c r="AI47" s="20"/>
      <c r="AJ47" s="20"/>
    </row>
    <row r="48" spans="2:36" s="24" customFormat="1" ht="6" customHeight="1">
      <c r="B48" s="31"/>
      <c r="C48" s="26"/>
      <c r="D48" s="133"/>
      <c r="E48" s="17"/>
      <c r="F48" s="17"/>
      <c r="G48" s="17"/>
      <c r="H48" s="17"/>
      <c r="I48" s="17"/>
      <c r="J48" s="17"/>
      <c r="K48" s="17"/>
      <c r="L48" s="17"/>
      <c r="M48" s="17"/>
      <c r="N48" s="17"/>
      <c r="O48" s="17"/>
      <c r="P48" s="17"/>
      <c r="Q48" s="17"/>
      <c r="R48" s="17"/>
      <c r="S48" s="17"/>
      <c r="T48" s="17"/>
      <c r="U48" s="17"/>
      <c r="V48" s="17"/>
      <c r="W48" s="17"/>
      <c r="X48" s="17"/>
      <c r="Y48" s="17"/>
      <c r="Z48" s="442"/>
      <c r="AA48" s="508"/>
      <c r="AB48" s="509"/>
      <c r="AC48" s="17"/>
      <c r="AD48" s="17"/>
      <c r="AF48" s="121"/>
      <c r="AG48" s="489"/>
      <c r="AH48" s="121"/>
      <c r="AI48" s="20"/>
      <c r="AJ48" s="20"/>
    </row>
    <row r="49" spans="1:36" s="18" customFormat="1" ht="15">
      <c r="A49" s="18" t="s">
        <v>225</v>
      </c>
      <c r="B49" s="106"/>
      <c r="D49" s="133">
        <v>182685</v>
      </c>
      <c r="E49" s="17">
        <v>177222</v>
      </c>
      <c r="F49" s="17">
        <v>182694</v>
      </c>
      <c r="G49" s="17">
        <v>213722</v>
      </c>
      <c r="H49" s="17">
        <v>215591</v>
      </c>
      <c r="I49" s="17"/>
      <c r="J49" s="17">
        <v>181875</v>
      </c>
      <c r="K49" s="17">
        <v>182635</v>
      </c>
      <c r="L49" s="17">
        <v>185222</v>
      </c>
      <c r="M49" s="17">
        <v>177222</v>
      </c>
      <c r="N49" s="17">
        <v>175850</v>
      </c>
      <c r="O49" s="17">
        <v>184824</v>
      </c>
      <c r="P49" s="17">
        <v>186847</v>
      </c>
      <c r="Q49" s="17">
        <v>182694</v>
      </c>
      <c r="R49" s="17">
        <v>189644</v>
      </c>
      <c r="S49" s="17">
        <v>198330</v>
      </c>
      <c r="T49" s="17">
        <v>213919</v>
      </c>
      <c r="U49" s="17">
        <v>213722</v>
      </c>
      <c r="V49" s="17">
        <v>219702</v>
      </c>
      <c r="W49" s="17">
        <v>225382</v>
      </c>
      <c r="X49" s="17">
        <v>216896</v>
      </c>
      <c r="Y49" s="17">
        <v>215591</v>
      </c>
      <c r="Z49" s="17"/>
      <c r="AA49" s="169"/>
      <c r="AB49" s="498"/>
      <c r="AC49" s="17"/>
      <c r="AD49" s="17"/>
      <c r="AE49" s="15"/>
      <c r="AF49" s="104">
        <f>X49</f>
        <v>216896</v>
      </c>
      <c r="AG49" s="489"/>
      <c r="AH49" s="17"/>
      <c r="AI49" s="20"/>
      <c r="AJ49" s="20"/>
    </row>
    <row r="50" spans="8:33" ht="14.25">
      <c r="H50" s="171"/>
      <c r="AA50" s="171"/>
      <c r="AB50" s="489"/>
      <c r="AG50" s="489"/>
    </row>
    <row r="51" spans="27:28" ht="14.25">
      <c r="AA51" s="171"/>
      <c r="AB51" s="142"/>
    </row>
    <row r="52" spans="3:28" ht="14.25">
      <c r="C52" s="5" t="s">
        <v>420</v>
      </c>
      <c r="AA52" s="171"/>
      <c r="AB52" s="142"/>
    </row>
    <row r="53" spans="3:28" ht="14.25">
      <c r="C53" s="5" t="s">
        <v>421</v>
      </c>
      <c r="Z53" s="165"/>
      <c r="AA53" s="171"/>
      <c r="AB53" s="142"/>
    </row>
    <row r="54" ht="14.25">
      <c r="C54" s="5" t="s">
        <v>422</v>
      </c>
    </row>
    <row r="55" ht="14.25">
      <c r="C55" s="5" t="s">
        <v>423</v>
      </c>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80"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AI123"/>
  <sheetViews>
    <sheetView zoomScale="80" zoomScaleNormal="80" zoomScalePageLayoutView="0" workbookViewId="0" topLeftCell="A1">
      <pane xSplit="3" ySplit="2" topLeftCell="D15" activePane="bottomRight" state="frozen"/>
      <selection pane="topLeft" activeCell="P25" sqref="P25"/>
      <selection pane="topRight" activeCell="P25" sqref="P25"/>
      <selection pane="bottomLeft" activeCell="P25" sqref="P25"/>
      <selection pane="bottomRight" activeCell="AQ38" sqref="AQ38"/>
    </sheetView>
  </sheetViews>
  <sheetFormatPr defaultColWidth="9.140625" defaultRowHeight="12.75" outlineLevelCol="1"/>
  <cols>
    <col min="2" max="2" width="14.00390625" style="0" customWidth="1"/>
    <col min="3" max="3" width="12.57421875" style="0" customWidth="1"/>
    <col min="4" max="5" width="10.28125" style="137" hidden="1" customWidth="1" outlineLevel="1"/>
    <col min="6" max="8" width="10.28125" style="154" hidden="1" customWidth="1" outlineLevel="1"/>
    <col min="9" max="9" width="1.8515625" style="137" hidden="1" customWidth="1" outlineLevel="1"/>
    <col min="10" max="12" width="10.28125" style="137" hidden="1" customWidth="1" outlineLevel="1"/>
    <col min="13" max="17" width="10.28125" style="154" hidden="1" customWidth="1" outlineLevel="1"/>
    <col min="18" max="19" width="10.28125" style="154" hidden="1" customWidth="1" outlineLevel="1" collapsed="1"/>
    <col min="20" max="21" width="10.28125" style="154" hidden="1" customWidth="1" outlineLevel="1"/>
    <col min="22" max="22" width="10.28125" style="154" customWidth="1" collapsed="1"/>
    <col min="23" max="25" width="10.28125" style="154" customWidth="1"/>
    <col min="26" max="28" width="10.28125" style="275" customWidth="1"/>
    <col min="29" max="29" width="4.57421875" style="0" customWidth="1"/>
    <col min="30" max="31" width="0.9921875" style="0" customWidth="1"/>
    <col min="32" max="33" width="10.28125" style="154" customWidth="1"/>
    <col min="34" max="35" width="10.28125" style="154" hidden="1" customWidth="1"/>
  </cols>
  <sheetData>
    <row r="1" spans="1:35" s="42" customFormat="1" ht="20.25">
      <c r="A1" s="41" t="s">
        <v>129</v>
      </c>
      <c r="D1" s="123"/>
      <c r="E1" s="123"/>
      <c r="F1" s="124"/>
      <c r="G1" s="124"/>
      <c r="H1" s="124"/>
      <c r="I1" s="124"/>
      <c r="J1" s="124"/>
      <c r="K1" s="124"/>
      <c r="L1" s="124"/>
      <c r="M1" s="124"/>
      <c r="N1" s="167"/>
      <c r="O1" s="167"/>
      <c r="P1" s="167"/>
      <c r="Q1" s="167"/>
      <c r="R1" s="167"/>
      <c r="S1" s="167"/>
      <c r="T1" s="167"/>
      <c r="U1" s="167"/>
      <c r="V1" s="167"/>
      <c r="W1" s="167"/>
      <c r="X1" s="167"/>
      <c r="Y1" s="167"/>
      <c r="Z1" s="167"/>
      <c r="AA1" s="167"/>
      <c r="AB1" s="167"/>
      <c r="AF1" s="167"/>
      <c r="AG1" s="167"/>
      <c r="AH1" s="167"/>
      <c r="AI1" s="167"/>
    </row>
    <row r="2" spans="1:35" s="44" customFormat="1" ht="15">
      <c r="A2" s="590" t="s">
        <v>437</v>
      </c>
      <c r="B2" s="590"/>
      <c r="C2" s="590"/>
      <c r="D2" s="74" t="s">
        <v>60</v>
      </c>
      <c r="E2" s="74" t="s">
        <v>231</v>
      </c>
      <c r="F2" s="74" t="s">
        <v>346</v>
      </c>
      <c r="G2" s="74" t="s">
        <v>362</v>
      </c>
      <c r="H2" s="74" t="s">
        <v>383</v>
      </c>
      <c r="I2" s="74"/>
      <c r="J2" s="74" t="s">
        <v>2</v>
      </c>
      <c r="K2" s="74" t="s">
        <v>3</v>
      </c>
      <c r="L2" s="74" t="s">
        <v>4</v>
      </c>
      <c r="M2" s="74" t="s">
        <v>230</v>
      </c>
      <c r="N2" s="168" t="s">
        <v>330</v>
      </c>
      <c r="O2" s="168" t="s">
        <v>334</v>
      </c>
      <c r="P2" s="168" t="s">
        <v>341</v>
      </c>
      <c r="Q2" s="168" t="s">
        <v>345</v>
      </c>
      <c r="R2" s="168" t="s">
        <v>349</v>
      </c>
      <c r="S2" s="168" t="s">
        <v>353</v>
      </c>
      <c r="T2" s="168" t="s">
        <v>357</v>
      </c>
      <c r="U2" s="168" t="s">
        <v>361</v>
      </c>
      <c r="V2" s="168" t="s">
        <v>363</v>
      </c>
      <c r="W2" s="168" t="s">
        <v>374</v>
      </c>
      <c r="X2" s="168" t="s">
        <v>380</v>
      </c>
      <c r="Y2" s="168" t="s">
        <v>384</v>
      </c>
      <c r="Z2" s="168" t="s">
        <v>387</v>
      </c>
      <c r="AA2" s="168" t="s">
        <v>411</v>
      </c>
      <c r="AB2" s="168" t="s">
        <v>431</v>
      </c>
      <c r="AF2" s="285" t="s">
        <v>442</v>
      </c>
      <c r="AG2" s="285" t="s">
        <v>443</v>
      </c>
      <c r="AH2" s="285" t="s">
        <v>416</v>
      </c>
      <c r="AI2" s="285" t="s">
        <v>417</v>
      </c>
    </row>
    <row r="3" spans="26:35" ht="12.75">
      <c r="Z3" s="443"/>
      <c r="AA3" s="443"/>
      <c r="AB3" s="273"/>
      <c r="AG3" s="138"/>
      <c r="AI3" s="138"/>
    </row>
    <row r="4" spans="1:35" s="67" customFormat="1" ht="15">
      <c r="A4" s="66" t="s">
        <v>131</v>
      </c>
      <c r="D4" s="103"/>
      <c r="E4" s="103"/>
      <c r="F4" s="114"/>
      <c r="G4" s="114"/>
      <c r="H4" s="114"/>
      <c r="I4" s="103"/>
      <c r="J4" s="103"/>
      <c r="K4" s="103"/>
      <c r="L4" s="103"/>
      <c r="M4" s="114"/>
      <c r="N4" s="114"/>
      <c r="O4" s="114"/>
      <c r="P4" s="114"/>
      <c r="Q4" s="114"/>
      <c r="R4" s="114"/>
      <c r="S4" s="114"/>
      <c r="T4" s="114"/>
      <c r="U4" s="114"/>
      <c r="V4" s="114"/>
      <c r="W4" s="114"/>
      <c r="X4" s="114"/>
      <c r="Y4" s="114"/>
      <c r="Z4" s="399"/>
      <c r="AA4" s="421"/>
      <c r="AB4" s="433"/>
      <c r="AC4" s="80"/>
      <c r="AD4" s="80"/>
      <c r="AE4" s="80"/>
      <c r="AF4" s="369"/>
      <c r="AG4" s="372"/>
      <c r="AH4" s="369"/>
      <c r="AI4" s="372"/>
    </row>
    <row r="5" spans="1:35" s="67" customFormat="1" ht="14.25">
      <c r="A5" s="49" t="s">
        <v>82</v>
      </c>
      <c r="D5" s="129">
        <f>+'15.Consumer'!D6+'16.Institutional'!D6+'17.Treasury'!D6+'18.Others'!D6</f>
        <v>6031</v>
      </c>
      <c r="E5" s="129">
        <f>+'15.Consumer'!E6+'16.Institutional'!E6+'17.Treasury'!E6+'18.Others'!E6</f>
        <v>6603</v>
      </c>
      <c r="F5" s="156">
        <f>+'15.Consumer'!F6+'16.Institutional'!F6+'17.Treasury'!F6+'18.Others'!F6</f>
        <v>7066</v>
      </c>
      <c r="G5" s="156"/>
      <c r="H5" s="156"/>
      <c r="I5" s="129"/>
      <c r="J5" s="129">
        <f>+'15.Consumer'!J6+'16.Institutional'!J6+'17.Treasury'!J6+'18.Others'!J6</f>
        <v>1662</v>
      </c>
      <c r="K5" s="129">
        <f>+'15.Consumer'!K6+'16.Institutional'!K6+'17.Treasury'!K6+'18.Others'!K6</f>
        <v>1792</v>
      </c>
      <c r="L5" s="129">
        <f>+'15.Consumer'!L6+'16.Institutional'!L6+'17.Treasury'!L6+'18.Others'!L6</f>
        <v>1577</v>
      </c>
      <c r="M5" s="156">
        <f>+'15.Consumer'!M6+'16.Institutional'!M6+'17.Treasury'!M6+'18.Others'!M6</f>
        <v>1572</v>
      </c>
      <c r="N5" s="156">
        <f>+'15.Consumer'!N6+'16.Institutional'!N6+'17.Treasury'!N6+'18.Others'!N6</f>
        <v>1713</v>
      </c>
      <c r="O5" s="156">
        <f>+'15.Consumer'!O6+'16.Institutional'!O6+'17.Treasury'!O6+'18.Others'!O6</f>
        <v>1815</v>
      </c>
      <c r="P5" s="156">
        <f>+'15.Consumer'!P6+'16.Institutional'!P6+'17.Treasury'!P6+'18.Others'!P6</f>
        <v>1809</v>
      </c>
      <c r="Q5" s="156">
        <f>+'15.Consumer'!Q6+'16.Institutional'!Q6+'17.Treasury'!Q6+'18.Others'!Q6</f>
        <v>1729</v>
      </c>
      <c r="R5" s="156">
        <f>+'15.Consumer'!R6+'16.Institutional'!R6+'17.Treasury'!R6+'18.Others'!R6</f>
        <v>1909</v>
      </c>
      <c r="S5" s="156">
        <f>+'15.Consumer'!S6+'16.Institutional'!S6+'17.Treasury'!S6+'18.Others'!S6</f>
        <v>1838</v>
      </c>
      <c r="T5" s="156">
        <f>+'15.Consumer'!T6+'16.Institutional'!T6+'17.Treasury'!T6+'18.Others'!T6</f>
        <v>1968</v>
      </c>
      <c r="U5" s="156">
        <f>+'15.Consumer'!U6+'16.Institutional'!U6+'17.Treasury'!U6+'18.Others'!U6</f>
        <v>1916</v>
      </c>
      <c r="V5" s="427">
        <f>+'15.Consumer'!V6+'16.Institutional'!V6+'17.Treasury'!V6+'18.Others'!V6</f>
        <v>2156</v>
      </c>
      <c r="W5" s="427">
        <f>+'15.Consumer'!W6+'16.Institutional'!W6+'17.Treasury'!W6+'18.Others'!W6</f>
        <v>1945</v>
      </c>
      <c r="X5" s="427">
        <f>+'15.Consumer'!X6+'16.Institutional'!X6+'17.Treasury'!X6+'18.Others'!X6</f>
        <v>2004</v>
      </c>
      <c r="Y5" s="427">
        <f>+'15.Consumer'!Y6+'16.Institutional'!Y6+'17.Treasury'!Y6+'18.Others'!Y6</f>
        <v>1959</v>
      </c>
      <c r="Z5" s="451">
        <f>+'15.Consumer'!Z6+'16.Institutional'!Z6+'17.Treasury'!Z6+'18.Others'!Z6</f>
        <v>2317</v>
      </c>
      <c r="AA5" s="453">
        <f>+'15.Consumer'!AA6+'16.Institutional'!AA6+'17.Treasury'!AA6+'18.Others'!AA6</f>
        <v>2309</v>
      </c>
      <c r="AB5" s="560">
        <f>+'15.Consumer'!AB6+'16.Institutional'!AB6+'17.Treasury'!AB6+'18.Others'!AB6</f>
        <v>2150</v>
      </c>
      <c r="AC5" s="452"/>
      <c r="AD5" s="452"/>
      <c r="AE5" s="376"/>
      <c r="AF5" s="375">
        <v>6105</v>
      </c>
      <c r="AG5" s="560">
        <v>6105</v>
      </c>
      <c r="AH5" s="156">
        <f>'15.Consumer'!AI6+'16.Institutional'!AI6+'17.Treasury'!AI6+'18.Others'!AI6</f>
        <v>4101</v>
      </c>
      <c r="AI5" s="381">
        <f>'15.Consumer'!AJ6+'16.Institutional'!AJ6+'17.Treasury'!AJ6+'18.Others'!AJ6</f>
        <v>4626</v>
      </c>
    </row>
    <row r="6" spans="2:35" s="67" customFormat="1" ht="14.25">
      <c r="B6" s="67" t="s">
        <v>376</v>
      </c>
      <c r="D6" s="72">
        <f>+'15.Consumer'!D6/D5*100</f>
        <v>38.136295805007464</v>
      </c>
      <c r="E6" s="72">
        <f>+'15.Consumer'!E6/E5*100</f>
        <v>30.410419506285024</v>
      </c>
      <c r="F6" s="155">
        <f>+'15.Consumer'!F6/F5*100</f>
        <v>29.2244551372771</v>
      </c>
      <c r="G6" s="155">
        <v>28.88219106277028</v>
      </c>
      <c r="H6" s="155">
        <v>28.521825396825395</v>
      </c>
      <c r="I6" s="72"/>
      <c r="J6" s="72">
        <f>+'15.Consumer'!J6/J5*100</f>
        <v>28.58002406738869</v>
      </c>
      <c r="K6" s="72">
        <f>+'15.Consumer'!K6/K5*100</f>
        <v>27.232142857142854</v>
      </c>
      <c r="L6" s="72">
        <f>+'15.Consumer'!L6/L5*100</f>
        <v>33.03741280913126</v>
      </c>
      <c r="M6" s="155">
        <f>+'15.Consumer'!M6/M5*100</f>
        <v>33.396946564885496</v>
      </c>
      <c r="N6" s="155">
        <f>+'15.Consumer'!N6/N5*100</f>
        <v>30.122591943957964</v>
      </c>
      <c r="O6" s="155">
        <f>+'15.Consumer'!O6/O5*100</f>
        <v>28.705234159779614</v>
      </c>
      <c r="P6" s="155">
        <f>+'15.Consumer'!P6/P5*100</f>
        <v>27.750138197899393</v>
      </c>
      <c r="Q6" s="155">
        <f>+'15.Consumer'!Q6/Q5*100</f>
        <v>30.42220936957779</v>
      </c>
      <c r="R6" s="155">
        <f>+'15.Consumer'!R6/R5*100</f>
        <v>26.87270822420115</v>
      </c>
      <c r="S6" s="155">
        <f>+'15.Consumer'!S6/S5*100</f>
        <v>30.576713819368877</v>
      </c>
      <c r="T6" s="155">
        <f>+'15.Consumer'!T6/T5*100</f>
        <v>27.743902439024392</v>
      </c>
      <c r="U6" s="155">
        <f>+'15.Consumer'!U6/U5*100</f>
        <v>30.427974947807932</v>
      </c>
      <c r="V6" s="155">
        <f>+'15.Consumer'!V6/V5*100</f>
        <v>27.968460111317256</v>
      </c>
      <c r="W6" s="155">
        <f>+'15.Consumer'!W6/W5*100</f>
        <v>29.10025706940874</v>
      </c>
      <c r="X6" s="155">
        <f>+'15.Consumer'!X6/X5*100</f>
        <v>28.393213572854293</v>
      </c>
      <c r="Y6" s="155">
        <f>+'15.Consumer'!Y6/Y5*100</f>
        <v>28.688106176620725</v>
      </c>
      <c r="Z6" s="413">
        <f>+'15.Consumer'!Z6/Z5*100</f>
        <v>26.84505826499784</v>
      </c>
      <c r="AA6" s="413">
        <f>+'15.Consumer'!AA6/AA5*100</f>
        <v>26.981377219575574</v>
      </c>
      <c r="AB6" s="565">
        <f>+'15.Consumer'!AB6/AB5*100</f>
        <v>29.58139534883721</v>
      </c>
      <c r="AC6" s="80"/>
      <c r="AD6" s="80"/>
      <c r="AE6" s="80"/>
      <c r="AF6" s="256">
        <v>28.468468468468465</v>
      </c>
      <c r="AG6" s="565">
        <f>+'15.Consumer'!AG6/AG5*100</f>
        <v>30.810810810810814</v>
      </c>
      <c r="AH6" s="256">
        <f>('15.Consumer'!AI6/AH5)*100</f>
        <v>28.505242623750306</v>
      </c>
      <c r="AI6" s="367">
        <f>('15.Consumer'!AJ6/AI5)*100</f>
        <v>26.913099870298314</v>
      </c>
    </row>
    <row r="7" spans="2:35" s="67" customFormat="1" ht="14.25">
      <c r="B7" s="67" t="s">
        <v>130</v>
      </c>
      <c r="D7" s="72">
        <f>+'16.Institutional'!D6/D5*100</f>
        <v>43.95622616481512</v>
      </c>
      <c r="E7" s="72">
        <f>+'16.Institutional'!E6/E5*100</f>
        <v>48.03877025594427</v>
      </c>
      <c r="F7" s="155">
        <f>+'16.Institutional'!F6/F5*100</f>
        <v>49.716954429663176</v>
      </c>
      <c r="G7" s="155">
        <v>52.54881404796225</v>
      </c>
      <c r="H7" s="155">
        <v>53.47222222222222</v>
      </c>
      <c r="I7" s="72"/>
      <c r="J7" s="72">
        <f>+'16.Institutional'!J6/J5*100</f>
        <v>45.84837545126354</v>
      </c>
      <c r="K7" s="72">
        <f>+'16.Institutional'!K6/K5*100</f>
        <v>44.53125</v>
      </c>
      <c r="L7" s="72">
        <f>+'16.Institutional'!L6/L5*100</f>
        <v>51.17311350665821</v>
      </c>
      <c r="M7" s="155">
        <f>+'16.Institutional'!M6/M5*100</f>
        <v>51.14503816793893</v>
      </c>
      <c r="N7" s="155">
        <f>+'16.Institutional'!N6/N5*100</f>
        <v>46.93520140105078</v>
      </c>
      <c r="O7" s="155">
        <f>+'16.Institutional'!O6/O5*100</f>
        <v>50.688705234159784</v>
      </c>
      <c r="P7" s="155">
        <f>+'16.Institutional'!P6/P5*100</f>
        <v>49.97236042012162</v>
      </c>
      <c r="Q7" s="155">
        <f>+'16.Institutional'!Q6/Q5*100</f>
        <v>51.18565644881434</v>
      </c>
      <c r="R7" s="155">
        <f>+'16.Institutional'!R6/R5*100</f>
        <v>51.70246202200105</v>
      </c>
      <c r="S7" s="155">
        <f>+'16.Institutional'!S6/S5*100</f>
        <v>53.69967355821545</v>
      </c>
      <c r="T7" s="155">
        <f>+'16.Institutional'!T6/T5*100</f>
        <v>53.760162601626014</v>
      </c>
      <c r="U7" s="155">
        <f>+'16.Institutional'!U6/U5*100</f>
        <v>51.04384133611691</v>
      </c>
      <c r="V7" s="155">
        <f>+'16.Institutional'!V6/V5*100</f>
        <v>49.07235621521336</v>
      </c>
      <c r="W7" s="155">
        <f>+'16.Institutional'!W6/W5*100</f>
        <v>55.26992287917738</v>
      </c>
      <c r="X7" s="155">
        <f>+'16.Institutional'!X6/X5*100</f>
        <v>53.64271457085829</v>
      </c>
      <c r="Y7" s="155">
        <f>+'16.Institutional'!Y6/Y5*100</f>
        <v>48.18785094435937</v>
      </c>
      <c r="Z7" s="413">
        <f>+'16.Institutional'!Z6/Z5*100</f>
        <v>51.87742770824342</v>
      </c>
      <c r="AA7" s="413">
        <f>+'16.Institutional'!AA6/AA5*100</f>
        <v>51.19099177132958</v>
      </c>
      <c r="AB7" s="565">
        <f>+'16.Institutional'!AB6/AB5*100</f>
        <v>53.30232558139535</v>
      </c>
      <c r="AC7" s="80"/>
      <c r="AD7" s="80"/>
      <c r="AE7" s="80"/>
      <c r="AF7" s="256">
        <v>54.512694512694516</v>
      </c>
      <c r="AG7" s="565">
        <f>+'16.Institutional'!AG6/AG5*100</f>
        <v>57.82145782145782</v>
      </c>
      <c r="AH7" s="256">
        <f>('16.Institutional'!AI6/AH5)*100</f>
        <v>52.01170446232626</v>
      </c>
      <c r="AI7" s="367">
        <f>('16.Institutional'!AJ6/AI5)*100</f>
        <v>51.53480328577604</v>
      </c>
    </row>
    <row r="8" spans="2:35" s="67" customFormat="1" ht="14.25">
      <c r="B8" s="67" t="s">
        <v>332</v>
      </c>
      <c r="D8" s="72">
        <f>+'17.Treasury'!D6/D5*100</f>
        <v>14.607859393135467</v>
      </c>
      <c r="E8" s="72">
        <f>+'17.Treasury'!E6/E5*100</f>
        <v>18.915644404058764</v>
      </c>
      <c r="F8" s="155">
        <f>+'17.Treasury'!F6/F5*100</f>
        <v>17.449759411265216</v>
      </c>
      <c r="G8" s="155">
        <v>15.096317651683922</v>
      </c>
      <c r="H8" s="155">
        <v>13.876488095238097</v>
      </c>
      <c r="I8" s="72"/>
      <c r="J8" s="72">
        <f>+'17.Treasury'!J6/J5*100</f>
        <v>29.24187725631769</v>
      </c>
      <c r="K8" s="72">
        <f>+'17.Treasury'!K6/K5*100</f>
        <v>16.40625</v>
      </c>
      <c r="L8" s="72">
        <f>+'17.Treasury'!L6/L5*100</f>
        <v>16.67723525681674</v>
      </c>
      <c r="M8" s="155">
        <f>+'17.Treasury'!M6/M5*100</f>
        <v>13.104325699745548</v>
      </c>
      <c r="N8" s="155">
        <f>+'17.Treasury'!N6/N5*100</f>
        <v>21.891418563922944</v>
      </c>
      <c r="O8" s="155">
        <f>+'17.Treasury'!O6/O5*100</f>
        <v>19.61432506887052</v>
      </c>
      <c r="P8" s="155">
        <f>+'17.Treasury'!P6/P5*100</f>
        <v>18.51851851851852</v>
      </c>
      <c r="Q8" s="155">
        <f>+'17.Treasury'!Q6/Q5*100</f>
        <v>9.658762290341237</v>
      </c>
      <c r="R8" s="155">
        <f>+'17.Treasury'!R6/R5*100</f>
        <v>15.924567836563646</v>
      </c>
      <c r="S8" s="155">
        <f>+'17.Treasury'!S6/S5*100</f>
        <v>12.67682263329706</v>
      </c>
      <c r="T8" s="155">
        <f>+'17.Treasury'!T6/T5*100</f>
        <v>15.548780487804878</v>
      </c>
      <c r="U8" s="155">
        <f>+'17.Treasury'!U6/U5*100</f>
        <v>16.12734864300626</v>
      </c>
      <c r="V8" s="155">
        <f>+'17.Treasury'!V6/V5*100</f>
        <v>18.83116883116883</v>
      </c>
      <c r="W8" s="155">
        <f>+'17.Treasury'!W6/W5*100</f>
        <v>10.179948586118252</v>
      </c>
      <c r="X8" s="155">
        <f>+'17.Treasury'!X6/X5*100</f>
        <v>11.177644710578843</v>
      </c>
      <c r="Y8" s="155">
        <f>+'17.Treasury'!Y6/Y5*100</f>
        <v>14.854517611026033</v>
      </c>
      <c r="Z8" s="413">
        <f>+'17.Treasury'!Z6/Z5*100</f>
        <v>13.94044022442814</v>
      </c>
      <c r="AA8" s="413">
        <f>+'17.Treasury'!AA6/AA5*100</f>
        <v>12.386314421827631</v>
      </c>
      <c r="AB8" s="565">
        <f>+'17.Treasury'!AB6/AB5*100</f>
        <v>10.465116279069768</v>
      </c>
      <c r="AC8" s="80"/>
      <c r="AD8" s="80"/>
      <c r="AE8" s="80"/>
      <c r="AF8" s="256">
        <v>13.562653562653562</v>
      </c>
      <c r="AG8" s="565">
        <f>+'17.Treasury'!AG6/AG5*100</f>
        <v>13.660933660933662</v>
      </c>
      <c r="AH8" s="476">
        <f>('17.Treasury'!AI6/AH5)*100</f>
        <v>14.72811509387954</v>
      </c>
      <c r="AI8" s="367">
        <f>('17.Treasury'!AJ6/AI5)*100</f>
        <v>13.164721141374839</v>
      </c>
    </row>
    <row r="9" spans="2:35" s="67" customFormat="1" ht="14.25">
      <c r="B9" s="67" t="s">
        <v>35</v>
      </c>
      <c r="D9" s="72">
        <f>+'18.Others'!D6/D5*100</f>
        <v>3.2996186370419496</v>
      </c>
      <c r="E9" s="72">
        <f>+'18.Others'!E6/E5*100</f>
        <v>2.635165833711949</v>
      </c>
      <c r="F9" s="155">
        <f>+'18.Others'!F6/F5*100</f>
        <v>3.608831021794509</v>
      </c>
      <c r="G9" s="155">
        <v>3.472677237583541</v>
      </c>
      <c r="H9" s="155">
        <v>4.129464285714286</v>
      </c>
      <c r="I9" s="72"/>
      <c r="J9" s="72">
        <f>+'18.Others'!J6/J5*100</f>
        <v>-3.6702767749699152</v>
      </c>
      <c r="K9" s="72">
        <f>+'18.Others'!K6/K5*100</f>
        <v>11.830357142857142</v>
      </c>
      <c r="L9" s="72">
        <f>+'18.Others'!L6/L5*100</f>
        <v>-0.8877615726062142</v>
      </c>
      <c r="M9" s="155">
        <f>+'18.Others'!M6/M5*100</f>
        <v>2.3536895674300253</v>
      </c>
      <c r="N9" s="155">
        <f>+'18.Others'!N6/N5*100</f>
        <v>1.0507880910683012</v>
      </c>
      <c r="O9" s="155">
        <f>+'18.Others'!O6/O5*100</f>
        <v>0.9917355371900827</v>
      </c>
      <c r="P9" s="155">
        <f>+'18.Others'!P6/P5*100</f>
        <v>3.7589828634604756</v>
      </c>
      <c r="Q9" s="155">
        <f>+'18.Others'!Q6/Q5*100</f>
        <v>8.733371891266628</v>
      </c>
      <c r="R9" s="155">
        <f>+'18.Others'!R6/R5*100</f>
        <v>5.500261917234154</v>
      </c>
      <c r="S9" s="155">
        <f>+'18.Others'!S6/S5*100</f>
        <v>3.0467899891186074</v>
      </c>
      <c r="T9" s="155">
        <f>+'18.Others'!T6/T5*100</f>
        <v>2.9471544715447155</v>
      </c>
      <c r="U9" s="155">
        <f>+'18.Others'!U6/U5*100</f>
        <v>2.4008350730688934</v>
      </c>
      <c r="V9" s="155">
        <f>+'18.Others'!V6/V5*100</f>
        <v>4.128014842300557</v>
      </c>
      <c r="W9" s="155">
        <f>+'18.Others'!W6/W5*100</f>
        <v>5.4498714652956295</v>
      </c>
      <c r="X9" s="155">
        <f>+'18.Others'!X6/X5*100</f>
        <v>6.786427145708583</v>
      </c>
      <c r="Y9" s="155">
        <f>+'18.Others'!Y6/Y5*100</f>
        <v>8.269525267993874</v>
      </c>
      <c r="Z9" s="413">
        <f>+'18.Others'!Z6/Z5*100</f>
        <v>7.3370738023306</v>
      </c>
      <c r="AA9" s="413">
        <f>+'18.Others'!AA6/AA5*100</f>
        <v>9.441316587267215</v>
      </c>
      <c r="AB9" s="565">
        <f>+'18.Others'!AB6/AB5*100</f>
        <v>6.651162790697675</v>
      </c>
      <c r="AC9" s="80"/>
      <c r="AD9" s="80"/>
      <c r="AE9" s="80"/>
      <c r="AF9" s="256">
        <v>3.4561834561834566</v>
      </c>
      <c r="AG9" s="565">
        <f>+'18.Others'!AG6/AG5*100</f>
        <v>8.697788697788699</v>
      </c>
      <c r="AH9" s="476">
        <f>('18.Others'!AI6/AH5)*100</f>
        <v>4.754937820043892</v>
      </c>
      <c r="AI9" s="367">
        <f>('18.Others'!AJ6/AI5)*100</f>
        <v>8.387375702550798</v>
      </c>
    </row>
    <row r="10" spans="1:35" s="67" customFormat="1" ht="14.25">
      <c r="A10" s="58" t="s">
        <v>81</v>
      </c>
      <c r="D10" s="129">
        <f>+'19.S''pore'!D6+'20.HK'!D6+'21.GreaterChina'!D6+'22.SSEA'!D6+'23.ROW'!D6</f>
        <v>6031</v>
      </c>
      <c r="E10" s="129">
        <f>+'19.S''pore'!E6+'20.HK'!E6+'21.GreaterChina'!E6+'22.SSEA'!E6+'23.ROW'!E6</f>
        <v>6603</v>
      </c>
      <c r="F10" s="156">
        <f>+'19.S''pore'!F6+'20.HK'!F6+'21.GreaterChina'!F6+'22.SSEA'!F6+'23.ROW'!F6</f>
        <v>7066</v>
      </c>
      <c r="G10" s="156">
        <v>7631</v>
      </c>
      <c r="H10" s="156"/>
      <c r="I10" s="129"/>
      <c r="J10" s="129">
        <f>+'19.S''pore'!J6+'20.HK'!J6+'21.GreaterChina'!J6+'22.SSEA'!J6+'23.ROW'!J6</f>
        <v>1662</v>
      </c>
      <c r="K10" s="129">
        <f>+'19.S''pore'!K6+'20.HK'!K6+'21.GreaterChina'!K6+'22.SSEA'!K6+'23.ROW'!K6</f>
        <v>1792</v>
      </c>
      <c r="L10" s="129">
        <f>+'19.S''pore'!L6+'20.HK'!L6+'21.GreaterChina'!L6+'22.SSEA'!L6+'23.ROW'!L6</f>
        <v>1577</v>
      </c>
      <c r="M10" s="156">
        <f>+'19.S''pore'!M6+'20.HK'!M6+'21.GreaterChina'!M6+'22.SSEA'!M6+'23.ROW'!M6</f>
        <v>1572</v>
      </c>
      <c r="N10" s="156">
        <f>+'19.S''pore'!N6+'20.HK'!N6+'21.GreaterChina'!N6+'22.SSEA'!N6+'23.ROW'!N6</f>
        <v>1713</v>
      </c>
      <c r="O10" s="156">
        <f>+'19.S''pore'!O6+'20.HK'!O6+'21.GreaterChina'!O6+'22.SSEA'!O6+'23.ROW'!O6</f>
        <v>1815</v>
      </c>
      <c r="P10" s="156">
        <f>+'19.S''pore'!P6+'20.HK'!P6+'21.GreaterChina'!P6+'22.SSEA'!P6+'23.ROW'!P6</f>
        <v>1809</v>
      </c>
      <c r="Q10" s="156">
        <f>+'19.S''pore'!Q6+'20.HK'!Q6+'21.GreaterChina'!Q6+'22.SSEA'!Q6+'23.ROW'!Q6</f>
        <v>1729</v>
      </c>
      <c r="R10" s="156">
        <f>+'19.S''pore'!R6+'20.HK'!R6+'21.GreaterChina'!R6+'22.SSEA'!R6+'23.ROW'!R6</f>
        <v>1909</v>
      </c>
      <c r="S10" s="156">
        <f>+'19.S''pore'!S6+'20.HK'!S6+'21.GreaterChina'!S6+'22.SSEA'!S6+'23.ROW'!S6</f>
        <v>1838</v>
      </c>
      <c r="T10" s="156">
        <f>+'19.S''pore'!T6+'20.HK'!T6+'21.GreaterChina'!T6+'22.SSEA'!T6+'23.ROW'!T6</f>
        <v>1968</v>
      </c>
      <c r="U10" s="156">
        <f>+'19.S''pore'!U6+'20.HK'!U6+'21.GreaterChina'!U6+'22.SSEA'!U6+'23.ROW'!U6</f>
        <v>1916</v>
      </c>
      <c r="V10" s="156">
        <f>+'19.S''pore'!V6+'20.HK'!V6+'21.GreaterChina'!V6+'22.SSEA'!V6+'23.ROW'!V6</f>
        <v>2156</v>
      </c>
      <c r="W10" s="156">
        <f>+'19.S''pore'!W6+'20.HK'!W6+'21.GreaterChina'!W6+'22.SSEA'!W6+'23.ROW'!W6</f>
        <v>1945</v>
      </c>
      <c r="X10" s="156">
        <f>+'19.S''pore'!X6+'20.HK'!X6+'21.GreaterChina'!X6+'22.SSEA'!X6+'23.ROW'!X6</f>
        <v>2004</v>
      </c>
      <c r="Y10" s="156">
        <f>+'19.S''pore'!Y6+'20.HK'!Y6+'21.GreaterChina'!Y6+'22.SSEA'!Y6+'23.ROW'!Y6</f>
        <v>1959</v>
      </c>
      <c r="Z10" s="453">
        <f>+'19.S''pore'!Z6+'20.HK'!Z6+'21.GreaterChina'!Z6+'22.SSEA'!Z6+'23.ROW'!Z6</f>
        <v>2317</v>
      </c>
      <c r="AA10" s="453">
        <f>+'19.S''pore'!AA6+'20.HK'!AA6+'21.GreaterChina'!AA6+'22.SSEA'!AA6+'23.ROW'!AA6</f>
        <v>2309</v>
      </c>
      <c r="AB10" s="560">
        <f>+'19.S''pore'!AB6+'20.HK'!AB6+'21.GreaterChina'!AB6+'22.SSEA'!AB6+'23.ROW'!AB6</f>
        <v>2150</v>
      </c>
      <c r="AC10" s="376"/>
      <c r="AD10" s="376"/>
      <c r="AE10" s="376"/>
      <c r="AF10" s="375">
        <v>6105</v>
      </c>
      <c r="AG10" s="560">
        <f>'19.S''pore'!AG6+'20.HK'!AG6+'21.GreaterChina'!AG6+'22.SSEA'!AG6+'23.ROW'!AG6</f>
        <v>6776</v>
      </c>
      <c r="AH10" s="156">
        <f>'15.Consumer'!AI6+'16.Institutional'!AI6+'17.Treasury'!AI6+'18.Others'!AI6</f>
        <v>4101</v>
      </c>
      <c r="AI10" s="381">
        <f>'15.Consumer'!AJ6+'16.Institutional'!AJ6+'17.Treasury'!AJ6+'18.Others'!AJ6</f>
        <v>4626</v>
      </c>
    </row>
    <row r="11" spans="2:35" s="67" customFormat="1" ht="14.25">
      <c r="B11" s="67" t="s">
        <v>48</v>
      </c>
      <c r="D11" s="72">
        <f>+'19.S''pore'!D6/D10*100</f>
        <v>60.88542530260321</v>
      </c>
      <c r="E11" s="72">
        <f>+'19.S''pore'!E6/E10*100</f>
        <v>60.442223231864304</v>
      </c>
      <c r="F11" s="155">
        <f>+'19.S''pore'!F6/F10*100</f>
        <v>62.6379847155392</v>
      </c>
      <c r="G11" s="155">
        <v>61.839863713798984</v>
      </c>
      <c r="H11" s="155">
        <v>61.582341269841265</v>
      </c>
      <c r="I11" s="72"/>
      <c r="J11" s="72">
        <f>+'19.S''pore'!J6/J10*100</f>
        <v>57.701564380264735</v>
      </c>
      <c r="K11" s="72">
        <f>+'19.S''pore'!K6/K10*100</f>
        <v>63.83928571428571</v>
      </c>
      <c r="L11" s="72">
        <f>+'19.S''pore'!L6/L10*100</f>
        <v>59.22637920101459</v>
      </c>
      <c r="M11" s="155">
        <f>+'19.S''pore'!M6/M10*100</f>
        <v>60.68702290076335</v>
      </c>
      <c r="N11" s="155">
        <f>+'19.S''pore'!N6/N10*100</f>
        <v>59.89492119089317</v>
      </c>
      <c r="O11" s="155">
        <f>+'19.S''pore'!O6/O10*100</f>
        <v>63.691460055096414</v>
      </c>
      <c r="P11" s="155">
        <f>+'19.S''pore'!P6/P10*100</f>
        <v>62.07849640685461</v>
      </c>
      <c r="Q11" s="155">
        <f>+'19.S''pore'!Q6/Q10*100</f>
        <v>64.83516483516483</v>
      </c>
      <c r="R11" s="155">
        <f>+'19.S''pore'!R6/R10*100</f>
        <v>61.07909900471451</v>
      </c>
      <c r="S11" s="155">
        <f>+'19.S''pore'!S6/S10*100</f>
        <v>61.04461371055495</v>
      </c>
      <c r="T11" s="155">
        <f>+'19.S''pore'!T6/T10*100</f>
        <v>64.07520325203252</v>
      </c>
      <c r="U11" s="155">
        <f>+'19.S''pore'!U6/U10*100</f>
        <v>61.06471816283925</v>
      </c>
      <c r="V11" s="155">
        <f>+'19.S''pore'!V6/V10*100</f>
        <v>61.96660482374769</v>
      </c>
      <c r="W11" s="155">
        <f>+'19.S''pore'!W6/W10*100</f>
        <v>59.43444730077121</v>
      </c>
      <c r="X11" s="155">
        <f>+'19.S''pore'!X6/X10*100</f>
        <v>63.67265469061876</v>
      </c>
      <c r="Y11" s="155">
        <f>+'19.S''pore'!Y6/Y10*100</f>
        <v>61.15364982133742</v>
      </c>
      <c r="Z11" s="413">
        <f>+'19.S''pore'!Z6/Z10*100</f>
        <v>62.53776435045317</v>
      </c>
      <c r="AA11" s="413">
        <f>+'19.S''pore'!AA6/AA10*100</f>
        <v>59.28973581637072</v>
      </c>
      <c r="AB11" s="565">
        <f>+'19.S''pore'!AB6/AB10*100</f>
        <v>59.30232558139535</v>
      </c>
      <c r="AC11" s="80"/>
      <c r="AD11" s="80"/>
      <c r="AE11" s="80"/>
      <c r="AF11" s="256">
        <v>61.71990171990171</v>
      </c>
      <c r="AG11" s="367">
        <f>'19.S''pore'!AG6/AG10*100</f>
        <v>60.40436835891382</v>
      </c>
      <c r="AH11" s="476">
        <f>('19.S''pore'!AI6/AH10)*100</f>
        <v>60.76566691050963</v>
      </c>
      <c r="AI11" s="367">
        <f>('19.S''pore'!AJ6/AI10)*100</f>
        <v>60.91655858192823</v>
      </c>
    </row>
    <row r="12" spans="2:35" s="67" customFormat="1" ht="14.25">
      <c r="B12" s="67" t="s">
        <v>49</v>
      </c>
      <c r="D12" s="72">
        <f>+'20.HK'!D6/D10*100</f>
        <v>23.395788426463273</v>
      </c>
      <c r="E12" s="72">
        <f>+'20.HK'!E6/E10*100</f>
        <v>20.687566257761624</v>
      </c>
      <c r="F12" s="155">
        <f>+'20.HK'!F6/F10*100</f>
        <v>20.733088027172375</v>
      </c>
      <c r="G12" s="155">
        <v>19.040754815882586</v>
      </c>
      <c r="H12" s="155">
        <v>18.998015873015873</v>
      </c>
      <c r="I12" s="72"/>
      <c r="J12" s="72">
        <f>+'20.HK'!J6/J10*100</f>
        <v>21.119133574007222</v>
      </c>
      <c r="K12" s="72">
        <f>+'20.HK'!K6/K10*100</f>
        <v>19.084821428571427</v>
      </c>
      <c r="L12" s="72">
        <f>+'20.HK'!L6/L10*100</f>
        <v>20.989220038046923</v>
      </c>
      <c r="M12" s="155">
        <f>+'20.HK'!M6/M10*100</f>
        <v>21.755725190839694</v>
      </c>
      <c r="N12" s="155">
        <f>+'20.HK'!N6/N10*100</f>
        <v>21.424401634559253</v>
      </c>
      <c r="O12" s="155">
        <f>+'20.HK'!O6/O10*100</f>
        <v>20</v>
      </c>
      <c r="P12" s="155">
        <f>+'20.HK'!P6/P10*100</f>
        <v>21.337755666113875</v>
      </c>
      <c r="Q12" s="155">
        <f>+'20.HK'!Q6/Q10*100</f>
        <v>20.18507807981492</v>
      </c>
      <c r="R12" s="155">
        <f>+'20.HK'!R6/R10*100</f>
        <v>20.429544264012574</v>
      </c>
      <c r="S12" s="155">
        <f>+'20.HK'!S6/S10*100</f>
        <v>20.45701849836779</v>
      </c>
      <c r="T12" s="155">
        <f>+'20.HK'!T6/T10*100</f>
        <v>16.51422764227642</v>
      </c>
      <c r="U12" s="155">
        <f>+'20.HK'!U6/U10*100</f>
        <v>18.893528183716075</v>
      </c>
      <c r="V12" s="155">
        <f>+'20.HK'!V6/V10*100</f>
        <v>17.857142857142858</v>
      </c>
      <c r="W12" s="155">
        <f>+'20.HK'!W6/W10*100</f>
        <v>19.48586118251928</v>
      </c>
      <c r="X12" s="155">
        <f>+'20.HK'!X6/X10*100</f>
        <v>18.612774451097806</v>
      </c>
      <c r="Y12" s="155">
        <f>+'20.HK'!Y6/Y10*100</f>
        <v>20.163348647269014</v>
      </c>
      <c r="Z12" s="413">
        <f>+'20.HK'!Z6/Z10*100</f>
        <v>20.457488131204144</v>
      </c>
      <c r="AA12" s="413">
        <f>+'20.HK'!AA6/AA10*100</f>
        <v>22.693806842789087</v>
      </c>
      <c r="AB12" s="565">
        <f>+'20.HK'!AB6/AB10*100</f>
        <v>19.953488372093023</v>
      </c>
      <c r="AC12" s="80"/>
      <c r="AD12" s="80"/>
      <c r="AE12" s="80"/>
      <c r="AF12" s="256">
        <v>18.624078624078624</v>
      </c>
      <c r="AG12" s="367">
        <f>'20.HK'!AG6/AG10*100</f>
        <v>21.059622195985835</v>
      </c>
      <c r="AH12" s="256">
        <f>('20.HK'!AI6/AH10)*100</f>
        <v>18.62960253596684</v>
      </c>
      <c r="AI12" s="367">
        <f>('20.HK'!AJ6/AI10)*100-1</f>
        <v>20.573713791612626</v>
      </c>
    </row>
    <row r="13" spans="2:35" s="67" customFormat="1" ht="14.25">
      <c r="B13" s="67" t="s">
        <v>73</v>
      </c>
      <c r="D13" s="72">
        <f>+'21.GreaterChina'!D6/D10*100</f>
        <v>6.284198308738185</v>
      </c>
      <c r="E13" s="72">
        <f>+'21.GreaterChina'!E6/E10*100</f>
        <v>6.194154172345903</v>
      </c>
      <c r="F13" s="155">
        <f>+'21.GreaterChina'!F6/F10*100</f>
        <v>6.028870648174356</v>
      </c>
      <c r="G13" s="155">
        <v>8.019918752457084</v>
      </c>
      <c r="H13" s="155">
        <v>8.22172619047619</v>
      </c>
      <c r="I13" s="72"/>
      <c r="J13" s="72">
        <f>+'21.GreaterChina'!J6/J10*100</f>
        <v>7.039711191335741</v>
      </c>
      <c r="K13" s="72">
        <f>+'21.GreaterChina'!K6/K10*100</f>
        <v>5.747767857142857</v>
      </c>
      <c r="L13" s="72">
        <f>+'21.GreaterChina'!L6/L10*100</f>
        <v>6.404565630944832</v>
      </c>
      <c r="M13" s="155">
        <f>+'21.GreaterChina'!M6/M10*100</f>
        <v>5.597964376590331</v>
      </c>
      <c r="N13" s="155">
        <f>+'21.GreaterChina'!N6/N10*100</f>
        <v>6.246351430239346</v>
      </c>
      <c r="O13" s="155">
        <f>+'21.GreaterChina'!O6/O10*100</f>
        <v>5.7300275482093666</v>
      </c>
      <c r="P13" s="155">
        <f>+'21.GreaterChina'!P6/P10*100</f>
        <v>6.799336650082918</v>
      </c>
      <c r="Q13" s="155">
        <f>+'21.GreaterChina'!Q6/Q10*100</f>
        <v>5.320994794679005</v>
      </c>
      <c r="R13" s="155">
        <f>+'21.GreaterChina'!R6/R10*100</f>
        <v>7.386066003143006</v>
      </c>
      <c r="S13" s="155">
        <f>+'21.GreaterChina'!S6/S10*100</f>
        <v>8.10663764961915</v>
      </c>
      <c r="T13" s="155">
        <f>+'21.GreaterChina'!T6/T10*100</f>
        <v>8.180894308943088</v>
      </c>
      <c r="U13" s="155">
        <f>+'21.GreaterChina'!U6/U10*100</f>
        <v>8.402922755741127</v>
      </c>
      <c r="V13" s="155">
        <f>+'21.GreaterChina'!V6/V10*100</f>
        <v>8.39517625231911</v>
      </c>
      <c r="W13" s="155">
        <f>+'21.GreaterChina'!W6/W10*100</f>
        <v>10.437017994858612</v>
      </c>
      <c r="X13" s="155">
        <f>+'21.GreaterChina'!X6/X10*100</f>
        <v>7.0858283433133735</v>
      </c>
      <c r="Y13" s="155">
        <f>+'21.GreaterChina'!Y6/Y10*100</f>
        <v>6.993363961204696</v>
      </c>
      <c r="Z13" s="413">
        <f>+'21.GreaterChina'!Z6/Z10*100</f>
        <v>7.3370738023306</v>
      </c>
      <c r="AA13" s="413">
        <f>+'21.GreaterChina'!AA6/AA10*100</f>
        <v>7.968817669987008</v>
      </c>
      <c r="AB13" s="565">
        <f>+'21.GreaterChina'!AB6/AB10*100</f>
        <v>9.069767441860465</v>
      </c>
      <c r="AC13" s="80"/>
      <c r="AD13" s="80"/>
      <c r="AE13" s="80"/>
      <c r="AF13" s="256">
        <v>8.615888615888617</v>
      </c>
      <c r="AG13" s="367">
        <f>'21.GreaterChina'!AG6/AG10*100</f>
        <v>8.102125147579693</v>
      </c>
      <c r="AH13" s="256">
        <f>('21.GreaterChina'!AI6/AH10)*100</f>
        <v>9.36356986100951</v>
      </c>
      <c r="AI13" s="367">
        <f>('21.GreaterChina'!AJ6/AI10)*100</f>
        <v>7.652399481193256</v>
      </c>
    </row>
    <row r="14" spans="2:35" s="67" customFormat="1" ht="14.25">
      <c r="B14" s="67" t="s">
        <v>93</v>
      </c>
      <c r="D14" s="72">
        <f>+'22.SSEA'!D6/D10*100</f>
        <v>5.952578345216382</v>
      </c>
      <c r="E14" s="72">
        <f>+'22.SSEA'!E6/E10*100</f>
        <v>7.587460245343027</v>
      </c>
      <c r="F14" s="155">
        <f>+'22.SSEA'!F6/F10*100</f>
        <v>6.467591282196433</v>
      </c>
      <c r="G14" s="155">
        <v>7.299174420128423</v>
      </c>
      <c r="H14" s="155">
        <v>7.328869047619048</v>
      </c>
      <c r="I14" s="72"/>
      <c r="J14" s="72">
        <f>+'22.SSEA'!J6/J10*100</f>
        <v>9.326113116726836</v>
      </c>
      <c r="K14" s="72">
        <f>+'22.SSEA'!K6/K10*100</f>
        <v>6.752232142857142</v>
      </c>
      <c r="L14" s="72">
        <f>+'22.SSEA'!L6/L10*100</f>
        <v>7.609384908053266</v>
      </c>
      <c r="M14" s="155">
        <f>+'22.SSEA'!M6/M10*100</f>
        <v>6.679389312977099</v>
      </c>
      <c r="N14" s="155">
        <f>+'22.SSEA'!N6/N10*100</f>
        <v>7.647402218330414</v>
      </c>
      <c r="O14" s="155">
        <f>+'22.SSEA'!O6/O10*100</f>
        <v>6.721763085399449</v>
      </c>
      <c r="P14" s="155">
        <f>+'22.SSEA'!P6/P10*100</f>
        <v>5.693753454947484</v>
      </c>
      <c r="Q14" s="155">
        <f>+'22.SSEA'!Q6/Q10*100</f>
        <v>5.8415268941584735</v>
      </c>
      <c r="R14" s="155">
        <f>+'22.SSEA'!R6/R10*100</f>
        <v>6.862231534834992</v>
      </c>
      <c r="S14" s="155">
        <f>+'22.SSEA'!S6/S10*100</f>
        <v>6.746463547334058</v>
      </c>
      <c r="T14" s="155">
        <f>+'22.SSEA'!T6/T10*100</f>
        <v>8.180894308943088</v>
      </c>
      <c r="U14" s="155">
        <f>+'22.SSEA'!U6/U10*100</f>
        <v>7.359081419624217</v>
      </c>
      <c r="V14" s="155">
        <f>+'22.SSEA'!V6/V10*100</f>
        <v>7.745825602968461</v>
      </c>
      <c r="W14" s="155">
        <f>+'22.SSEA'!W6/W10*100</f>
        <v>7.043701799485862</v>
      </c>
      <c r="X14" s="155">
        <f>+'22.SSEA'!X6/X10*100</f>
        <v>6.986027944111776</v>
      </c>
      <c r="Y14" s="155">
        <f>+'22.SSEA'!Y6/Y10*100</f>
        <v>7.503828483920367</v>
      </c>
      <c r="Z14" s="413">
        <f>+'22.SSEA'!Z6/Z10*100</f>
        <v>6.603366422097539</v>
      </c>
      <c r="AA14" s="413">
        <f>+'22.SSEA'!AA6/AA10*100</f>
        <v>6.409701169337375</v>
      </c>
      <c r="AB14" s="565">
        <f>+'22.SSEA'!AB6/AB10*100</f>
        <v>7.906976744186046</v>
      </c>
      <c r="AC14" s="80"/>
      <c r="AD14" s="80"/>
      <c r="AE14" s="80"/>
      <c r="AF14" s="256">
        <v>7.2727272727272725</v>
      </c>
      <c r="AG14" s="367">
        <f>'22.SSEA'!AG6/AG10*100</f>
        <v>6.951003541912633</v>
      </c>
      <c r="AH14" s="256">
        <f>('22.SSEA'!AI6/AH10)*100</f>
        <v>7.412826139965863</v>
      </c>
      <c r="AI14" s="367">
        <f>('22.SSEA'!AJ6/AI10)*100</f>
        <v>6.506701253782967</v>
      </c>
    </row>
    <row r="15" spans="2:35" s="67" customFormat="1" ht="14.25">
      <c r="B15" s="67" t="s">
        <v>75</v>
      </c>
      <c r="D15" s="72">
        <f>+'23.ROW'!D6/D10*100</f>
        <v>3.482009616978942</v>
      </c>
      <c r="E15" s="72">
        <f>+'23.ROW'!E6/E10*100</f>
        <v>5.088596092685143</v>
      </c>
      <c r="F15" s="155">
        <f>+'23.ROW'!F6/F10*100</f>
        <v>4.132465326917634</v>
      </c>
      <c r="G15" s="155">
        <v>3.8002882977329318</v>
      </c>
      <c r="H15" s="155">
        <v>3.869047619047619</v>
      </c>
      <c r="I15" s="72"/>
      <c r="J15" s="72">
        <f>+'23.ROW'!J6/J10*100</f>
        <v>4.813477737665464</v>
      </c>
      <c r="K15" s="72">
        <f>+'23.ROW'!K6/K10*100</f>
        <v>4.575892857142857</v>
      </c>
      <c r="L15" s="72">
        <f>+'23.ROW'!L6/L10*100</f>
        <v>5.7704502219403935</v>
      </c>
      <c r="M15" s="155">
        <f>+'23.ROW'!M6/M10*100</f>
        <v>5.2798982188295165</v>
      </c>
      <c r="N15" s="155">
        <f>+'23.ROW'!N6/N10*100</f>
        <v>4.786923525977817</v>
      </c>
      <c r="O15" s="155">
        <f>+'23.ROW'!O6/O10*100</f>
        <v>3.8567493112947657</v>
      </c>
      <c r="P15" s="155">
        <f>+'23.ROW'!P6/P10*100</f>
        <v>4.090657822001106</v>
      </c>
      <c r="Q15" s="155">
        <f>+'23.ROW'!Q6/Q10*100</f>
        <v>3.8172353961827645</v>
      </c>
      <c r="R15" s="155">
        <f>+'23.ROW'!R6/R10*100</f>
        <v>4.243059193294918</v>
      </c>
      <c r="S15" s="155">
        <f>+'23.ROW'!S6/S10*100</f>
        <v>3.6452665941240476</v>
      </c>
      <c r="T15" s="155">
        <f>+'23.ROW'!T6/T10*100</f>
        <v>3.048780487804878</v>
      </c>
      <c r="U15" s="155">
        <f>+'23.ROW'!U6/U10*100</f>
        <v>4.2797494780793315</v>
      </c>
      <c r="V15" s="155">
        <f>+'23.ROW'!V6/V10*100</f>
        <v>4.0352504638218925</v>
      </c>
      <c r="W15" s="155">
        <f>+'23.ROW'!W6/W10*100</f>
        <v>3.5989717223650386</v>
      </c>
      <c r="X15" s="155">
        <f>+'23.ROW'!X6/X10*100</f>
        <v>3.642714570858283</v>
      </c>
      <c r="Y15" s="155">
        <f>+'23.ROW'!Y6/Y10*100</f>
        <v>4.185809086268504</v>
      </c>
      <c r="Z15" s="413">
        <f>+'23.ROW'!Z6/Z10*100</f>
        <v>3.0643072939145446</v>
      </c>
      <c r="AA15" s="413">
        <f>+'23.ROW'!AA6/AA10*100</f>
        <v>3.6379385015158077</v>
      </c>
      <c r="AB15" s="565">
        <f>+'23.ROW'!AB6/AB10*100</f>
        <v>3.7674418604651163</v>
      </c>
      <c r="AC15" s="80"/>
      <c r="AD15" s="80"/>
      <c r="AE15" s="80"/>
      <c r="AF15" s="256">
        <v>3.7674037674037675</v>
      </c>
      <c r="AG15" s="367">
        <f>'23.ROW'!AG6/AG10*100</f>
        <v>3.4828807556080283</v>
      </c>
      <c r="AH15" s="256">
        <f>('23.ROW'!AI6/AH10)*100</f>
        <v>3.828334552548159</v>
      </c>
      <c r="AI15" s="367">
        <f>('23.ROW'!AJ6/AI10)*100</f>
        <v>3.3506268914829227</v>
      </c>
    </row>
    <row r="16" spans="4:35" s="67" customFormat="1" ht="14.25">
      <c r="D16" s="103"/>
      <c r="E16" s="103"/>
      <c r="F16" s="114"/>
      <c r="G16" s="114"/>
      <c r="H16" s="114"/>
      <c r="I16" s="103"/>
      <c r="J16" s="103"/>
      <c r="K16" s="103"/>
      <c r="L16" s="103"/>
      <c r="M16" s="114"/>
      <c r="N16" s="114"/>
      <c r="O16" s="114"/>
      <c r="P16" s="114"/>
      <c r="Q16" s="114"/>
      <c r="R16" s="114"/>
      <c r="S16" s="114"/>
      <c r="T16" s="114"/>
      <c r="U16" s="114"/>
      <c r="V16" s="114"/>
      <c r="W16" s="114"/>
      <c r="X16" s="114"/>
      <c r="Y16" s="114"/>
      <c r="Z16" s="399"/>
      <c r="AA16" s="421"/>
      <c r="AB16" s="491"/>
      <c r="AC16" s="80"/>
      <c r="AD16" s="80"/>
      <c r="AE16" s="80"/>
      <c r="AF16" s="369"/>
      <c r="AG16" s="557"/>
      <c r="AH16" s="369"/>
      <c r="AI16" s="473"/>
    </row>
    <row r="17" spans="1:35" s="67" customFormat="1" ht="15">
      <c r="A17" s="66" t="s">
        <v>132</v>
      </c>
      <c r="D17" s="103"/>
      <c r="E17" s="103"/>
      <c r="F17" s="114"/>
      <c r="G17" s="114"/>
      <c r="H17" s="114"/>
      <c r="I17" s="103"/>
      <c r="J17" s="103"/>
      <c r="K17" s="103"/>
      <c r="L17" s="103"/>
      <c r="M17" s="114"/>
      <c r="N17" s="114"/>
      <c r="O17" s="114"/>
      <c r="P17" s="114"/>
      <c r="Q17" s="114"/>
      <c r="R17" s="114"/>
      <c r="S17" s="114"/>
      <c r="T17" s="114"/>
      <c r="U17" s="114"/>
      <c r="V17" s="114"/>
      <c r="W17" s="114"/>
      <c r="X17" s="114"/>
      <c r="Y17" s="114"/>
      <c r="Z17" s="399"/>
      <c r="AA17" s="421"/>
      <c r="AB17" s="491"/>
      <c r="AC17" s="80"/>
      <c r="AD17" s="80"/>
      <c r="AE17" s="80"/>
      <c r="AF17" s="369"/>
      <c r="AG17" s="557"/>
      <c r="AH17" s="369"/>
      <c r="AI17" s="473"/>
    </row>
    <row r="18" spans="1:35" s="67" customFormat="1" ht="14.25" customHeight="1" hidden="1">
      <c r="A18" s="49" t="s">
        <v>82</v>
      </c>
      <c r="D18" s="129">
        <f>+'15.Consumer'!D12+'16.Institutional'!D12+'17.Treasury'!D12+'18.Others'!D12</f>
        <v>2056</v>
      </c>
      <c r="E18" s="129">
        <f>+'15.Consumer'!E12+'16.Institutional'!E12+'17.Treasury'!E12+'18.Others'!E12</f>
        <v>2064</v>
      </c>
      <c r="F18" s="156">
        <f>+'15.Consumer'!F12+'16.Institutional'!F12+'17.Treasury'!F12+'18.Others'!F12</f>
        <v>2650</v>
      </c>
      <c r="G18" s="156">
        <v>0</v>
      </c>
      <c r="H18" s="156"/>
      <c r="I18" s="129"/>
      <c r="J18" s="129">
        <f>+'15.Consumer'!J12+'16.Institutional'!J12+'17.Treasury'!J12+'18.Others'!J12</f>
        <v>456</v>
      </c>
      <c r="K18" s="129">
        <f>+'15.Consumer'!K12+'16.Institutional'!K12+'17.Treasury'!K12+'18.Others'!K12</f>
        <v>552</v>
      </c>
      <c r="L18" s="129">
        <f>+'15.Consumer'!L12+'16.Institutional'!L12+'17.Treasury'!L12+'18.Others'!L12</f>
        <v>563</v>
      </c>
      <c r="M18" s="156">
        <f>+'15.Consumer'!M12+'16.Institutional'!M12+'17.Treasury'!M12+'18.Others'!M12</f>
        <v>493</v>
      </c>
      <c r="N18" s="156">
        <f>+'15.Consumer'!N12+'16.Institutional'!N12+'17.Treasury'!N12+'18.Others'!N12</f>
        <v>532</v>
      </c>
      <c r="O18" s="156">
        <f>+'15.Consumer'!O12+'16.Institutional'!O12+'17.Treasury'!O12+'18.Others'!O12</f>
        <v>718</v>
      </c>
      <c r="P18" s="156">
        <f>+'15.Consumer'!P12+'16.Institutional'!P12+'17.Treasury'!P12+'18.Others'!P12</f>
        <v>722</v>
      </c>
      <c r="Q18" s="156">
        <f>+'15.Consumer'!Q12+'16.Institutional'!Q12+'17.Treasury'!Q12+'18.Others'!Q12</f>
        <v>678</v>
      </c>
      <c r="R18" s="156">
        <f>+'15.Consumer'!R12+'16.Institutional'!R12+'17.Treasury'!R12+'18.Others'!R12</f>
        <v>807</v>
      </c>
      <c r="S18" s="156">
        <f>+'15.Consumer'!S12+'16.Institutional'!S12+'17.Treasury'!S12+'18.Others'!S12</f>
        <v>0</v>
      </c>
      <c r="T18" s="156">
        <f>+'15.Consumer'!T12+'16.Institutional'!T12+'17.Treasury'!T12+'18.Others'!T12</f>
        <v>0</v>
      </c>
      <c r="U18" s="156"/>
      <c r="V18" s="156"/>
      <c r="W18" s="156">
        <v>-170</v>
      </c>
      <c r="X18" s="156">
        <v>-170</v>
      </c>
      <c r="Y18" s="156">
        <v>-170</v>
      </c>
      <c r="Z18" s="444">
        <f>+'15.Consumer'!Z12+'16.Institutional'!Z12+'17.Treasury'!Z12+'18.Others'!Z12</f>
        <v>-170</v>
      </c>
      <c r="AA18" s="510">
        <f>+'15.Consumer'!AB12+'16.Institutional'!AB12+'17.Treasury'!AB12+'18.Others'!AB12</f>
        <v>1172</v>
      </c>
      <c r="AB18" s="514" t="e">
        <f>+'15.Consumer'!AD12+'16.Institutional'!AD12+'17.Treasury'!AD12+'18.Others'!AD12</f>
        <v>#VALUE!</v>
      </c>
      <c r="AC18" s="80"/>
      <c r="AD18" s="80"/>
      <c r="AE18" s="80"/>
      <c r="AF18" s="373">
        <v>0</v>
      </c>
      <c r="AG18" s="512">
        <v>0</v>
      </c>
      <c r="AH18" s="156">
        <f>+'[1]15.Consumer'!AG12+'[1]16.Institutional'!AG12+'[1]17.Treasury'!AG12+'[1]18.Others'!AG12</f>
        <v>0</v>
      </c>
      <c r="AI18" s="381">
        <f>+'[1]15.Consumer'!AH12+'[1]16.Institutional'!AH12+'[1]17.Treasury'!AH12+'[1]18.Others'!AH12</f>
        <v>0</v>
      </c>
    </row>
    <row r="19" spans="2:35" s="67" customFormat="1" ht="14.25" customHeight="1" hidden="1">
      <c r="B19" s="67" t="s">
        <v>376</v>
      </c>
      <c r="D19" s="135">
        <f>+'15.Consumer'!D12/D18*100</f>
        <v>32.68482490272373</v>
      </c>
      <c r="E19" s="135">
        <f>+'15.Consumer'!E12/E18*100</f>
        <v>27.71317829457364</v>
      </c>
      <c r="F19" s="155">
        <f>+'15.Consumer'!F12/F18*100</f>
        <v>17.28301886792453</v>
      </c>
      <c r="G19" s="155" t="e">
        <v>#DIV/0!</v>
      </c>
      <c r="H19" s="155"/>
      <c r="I19" s="72"/>
      <c r="J19" s="135">
        <f>+'15.Consumer'!J12/J18*100</f>
        <v>31.140350877192986</v>
      </c>
      <c r="K19" s="135">
        <f>+'15.Consumer'!K12/K18*100</f>
        <v>23.91304347826087</v>
      </c>
      <c r="L19" s="135">
        <f>+'15.Consumer'!L12/L18*100</f>
        <v>31.08348134991119</v>
      </c>
      <c r="M19" s="155">
        <f>+'15.Consumer'!M12/M18*100</f>
        <v>25.15212981744422</v>
      </c>
      <c r="N19" s="155">
        <f>+'15.Consumer'!N12/N18*100</f>
        <v>24.62406015037594</v>
      </c>
      <c r="O19" s="155">
        <f>+'15.Consumer'!O12/O18*100</f>
        <v>15.87743732590529</v>
      </c>
      <c r="P19" s="155">
        <f>+'15.Consumer'!P12/P18*100</f>
        <v>15.23545706371191</v>
      </c>
      <c r="Q19" s="155">
        <f>+'15.Consumer'!Q12/Q18*100</f>
        <v>15.191740412979351</v>
      </c>
      <c r="R19" s="155">
        <f>+'15.Consumer'!R12/R18*100</f>
        <v>14.12639405204461</v>
      </c>
      <c r="S19" s="155" t="e">
        <f>+'15.Consumer'!S12/S18*100</f>
        <v>#DIV/0!</v>
      </c>
      <c r="T19" s="155" t="e">
        <f>+'15.Consumer'!T12/T18*100</f>
        <v>#DIV/0!</v>
      </c>
      <c r="U19" s="155"/>
      <c r="V19" s="155"/>
      <c r="W19" s="155">
        <v>0</v>
      </c>
      <c r="X19" s="155">
        <v>0</v>
      </c>
      <c r="Y19" s="155">
        <v>0</v>
      </c>
      <c r="Z19" s="413">
        <f>+'15.Consumer'!Z12/Z18*100</f>
        <v>0</v>
      </c>
      <c r="AA19" s="511">
        <f>+'15.Consumer'!AB12/AA18*100</f>
        <v>0</v>
      </c>
      <c r="AB19" s="513" t="e">
        <f>+'15.Consumer'!AD12/AB18*100</f>
        <v>#VALUE!</v>
      </c>
      <c r="AC19" s="80"/>
      <c r="AD19" s="80"/>
      <c r="AE19" s="80"/>
      <c r="AF19" s="256" t="e">
        <v>#DIV/0!</v>
      </c>
      <c r="AG19" s="553" t="e">
        <v>#DIV/0!</v>
      </c>
      <c r="AH19" s="256" t="e">
        <f>+'[1]15.Consumer'!AG12/AH18*100</f>
        <v>#DIV/0!</v>
      </c>
      <c r="AI19" s="474" t="e">
        <f>+'[1]15.Consumer'!AH12/AI18*100</f>
        <v>#DIV/0!</v>
      </c>
    </row>
    <row r="20" spans="2:35" s="67" customFormat="1" ht="14.25" customHeight="1" hidden="1">
      <c r="B20" s="67" t="s">
        <v>130</v>
      </c>
      <c r="D20" s="135">
        <f>+'16.Institutional'!D12/D18*100</f>
        <v>48.10311284046693</v>
      </c>
      <c r="E20" s="135">
        <f>+'16.Institutional'!E12/E18*100</f>
        <v>47.189922480620154</v>
      </c>
      <c r="F20" s="155">
        <f>+'16.Institutional'!F12/F18*100</f>
        <v>51.320754716981135</v>
      </c>
      <c r="G20" s="155" t="e">
        <v>#DIV/0!</v>
      </c>
      <c r="H20" s="155"/>
      <c r="I20" s="72"/>
      <c r="J20" s="135">
        <f>+'16.Institutional'!J12/J18*100</f>
        <v>57.23684210526315</v>
      </c>
      <c r="K20" s="135">
        <f>+'16.Institutional'!K12/K18*100</f>
        <v>48.007246376811594</v>
      </c>
      <c r="L20" s="135">
        <f>+'16.Institutional'!L12/L18*100</f>
        <v>53.46358792184724</v>
      </c>
      <c r="M20" s="155">
        <f>+'16.Institutional'!M12/M18*100</f>
        <v>29.61460446247465</v>
      </c>
      <c r="N20" s="155">
        <f>+'16.Institutional'!N12/N18*100</f>
        <v>39.097744360902254</v>
      </c>
      <c r="O20" s="155">
        <f>+'16.Institutional'!O12/O18*100</f>
        <v>55.84958217270195</v>
      </c>
      <c r="P20" s="155">
        <f>+'16.Institutional'!P12/P18*100</f>
        <v>56.78670360110804</v>
      </c>
      <c r="Q20" s="155">
        <f>+'16.Institutional'!Q12/Q18*100</f>
        <v>50.29498525073747</v>
      </c>
      <c r="R20" s="155">
        <f>+'16.Institutional'!R12/R18*100</f>
        <v>64.80793060718712</v>
      </c>
      <c r="S20" s="155" t="e">
        <f>+'16.Institutional'!S12/S18*100</f>
        <v>#DIV/0!</v>
      </c>
      <c r="T20" s="155" t="e">
        <f>+'16.Institutional'!T12/T18*100</f>
        <v>#DIV/0!</v>
      </c>
      <c r="U20" s="155"/>
      <c r="V20" s="155"/>
      <c r="W20" s="155">
        <v>0</v>
      </c>
      <c r="X20" s="155">
        <v>0</v>
      </c>
      <c r="Y20" s="155">
        <v>0</v>
      </c>
      <c r="Z20" s="413">
        <f>+'16.Institutional'!Z12/Z18*100</f>
        <v>0</v>
      </c>
      <c r="AA20" s="511">
        <f>+'16.Institutional'!AB12/AA18*100</f>
        <v>0</v>
      </c>
      <c r="AB20" s="513" t="e">
        <f>+'16.Institutional'!AD12/AB18*100</f>
        <v>#VALUE!</v>
      </c>
      <c r="AC20" s="80"/>
      <c r="AD20" s="80"/>
      <c r="AE20" s="80"/>
      <c r="AF20" s="256" t="e">
        <v>#DIV/0!</v>
      </c>
      <c r="AG20" s="553" t="e">
        <v>#DIV/0!</v>
      </c>
      <c r="AH20" s="256" t="e">
        <f>+'[1]16.Institutional'!AG12/AH18*100</f>
        <v>#DIV/0!</v>
      </c>
      <c r="AI20" s="474" t="e">
        <f>+'[1]16.Institutional'!AH12/AI18*100</f>
        <v>#DIV/0!</v>
      </c>
    </row>
    <row r="21" spans="2:35" s="67" customFormat="1" ht="14.25" customHeight="1" hidden="1">
      <c r="B21" s="67" t="s">
        <v>332</v>
      </c>
      <c r="D21" s="135">
        <f>+'17.Treasury'!D12/D18*100</f>
        <v>10.408560311284047</v>
      </c>
      <c r="E21" s="135">
        <f>+'17.Treasury'!E12/E18*100</f>
        <v>35.02906976744186</v>
      </c>
      <c r="F21" s="155">
        <f>+'17.Treasury'!F12/F18*100</f>
        <v>27.660377358490567</v>
      </c>
      <c r="G21" s="155" t="e">
        <v>#DIV/0!</v>
      </c>
      <c r="H21" s="155"/>
      <c r="I21" s="72"/>
      <c r="J21" s="135">
        <f>+'17.Treasury'!J12/J18*100</f>
        <v>60.30701754385965</v>
      </c>
      <c r="K21" s="135">
        <f>+'17.Treasury'!K12/K18*100</f>
        <v>28.442028985507246</v>
      </c>
      <c r="L21" s="135">
        <f>+'17.Treasury'!L12/L18*100</f>
        <v>25.044404973357015</v>
      </c>
      <c r="M21" s="155">
        <f>+'17.Treasury'!M12/M18*100</f>
        <v>30.425963488843816</v>
      </c>
      <c r="N21" s="155">
        <f>+'17.Treasury'!N12/N18*100</f>
        <v>44.92481203007519</v>
      </c>
      <c r="O21" s="155">
        <f>+'17.Treasury'!O12/O18*100</f>
        <v>31.894150417827298</v>
      </c>
      <c r="P21" s="155">
        <f>+'17.Treasury'!P12/P18*100</f>
        <v>28.80886426592798</v>
      </c>
      <c r="Q21" s="155">
        <f>+'17.Treasury'!Q12/Q18*100</f>
        <v>8.4070796460177</v>
      </c>
      <c r="R21" s="155">
        <f>+'17.Treasury'!R12/R18*100</f>
        <v>20.941759603469638</v>
      </c>
      <c r="S21" s="155" t="e">
        <f>+'17.Treasury'!S12/S18*100</f>
        <v>#DIV/0!</v>
      </c>
      <c r="T21" s="155" t="e">
        <f>+'17.Treasury'!T12/T18*100</f>
        <v>#DIV/0!</v>
      </c>
      <c r="U21" s="155"/>
      <c r="V21" s="155"/>
      <c r="W21" s="155">
        <v>99.41176470588235</v>
      </c>
      <c r="X21" s="155">
        <v>99.41176470588235</v>
      </c>
      <c r="Y21" s="155">
        <v>99.41176470588235</v>
      </c>
      <c r="Z21" s="413">
        <f>+'17.Treasury'!Z12/Z18*100</f>
        <v>99.41176470588235</v>
      </c>
      <c r="AA21" s="511">
        <f>+'17.Treasury'!AB12/AA18*100</f>
        <v>91.38225255972696</v>
      </c>
      <c r="AB21" s="513" t="e">
        <f>+'17.Treasury'!AD12/AB18*100</f>
        <v>#VALUE!</v>
      </c>
      <c r="AC21" s="80"/>
      <c r="AD21" s="80"/>
      <c r="AE21" s="80"/>
      <c r="AF21" s="256" t="e">
        <v>#DIV/0!</v>
      </c>
      <c r="AG21" s="553" t="e">
        <v>#DIV/0!</v>
      </c>
      <c r="AH21" s="256" t="e">
        <f>+'[1]17.Treasury'!AG12/AH18*100</f>
        <v>#DIV/0!</v>
      </c>
      <c r="AI21" s="474" t="e">
        <f>+'[1]17.Treasury'!AH12/AI18*100</f>
        <v>#DIV/0!</v>
      </c>
    </row>
    <row r="22" spans="2:35" s="67" customFormat="1" ht="14.25" customHeight="1" hidden="1">
      <c r="B22" s="67" t="s">
        <v>35</v>
      </c>
      <c r="D22" s="135">
        <f>+'18.Others'!D12/D18*100</f>
        <v>8.803501945525293</v>
      </c>
      <c r="E22" s="135">
        <f>+'18.Others'!E12/E18*100</f>
        <v>-9.932170542635658</v>
      </c>
      <c r="F22" s="155">
        <f>+'18.Others'!F12/F18*100</f>
        <v>3.735849056603774</v>
      </c>
      <c r="G22" s="155" t="e">
        <v>#DIV/0!</v>
      </c>
      <c r="H22" s="155"/>
      <c r="I22" s="135"/>
      <c r="J22" s="135">
        <f>+'18.Others'!J12/J18*100</f>
        <v>-48.68421052631579</v>
      </c>
      <c r="K22" s="135">
        <f>+'18.Others'!K12/K18*100</f>
        <v>-0.36231884057971014</v>
      </c>
      <c r="L22" s="135">
        <f>+'18.Others'!L12/L18*100</f>
        <v>-9.591474245115453</v>
      </c>
      <c r="M22" s="155">
        <f>+'18.Others'!M12/M18*100</f>
        <v>14.807302231237324</v>
      </c>
      <c r="N22" s="155">
        <f>+'18.Others'!N12/N18*100</f>
        <v>-8.646616541353383</v>
      </c>
      <c r="O22" s="155">
        <f>+'18.Others'!O12/O18*100</f>
        <v>-3.6211699164345403</v>
      </c>
      <c r="P22" s="155">
        <f>+'18.Others'!P12/P18*100</f>
        <v>-0.8310249307479225</v>
      </c>
      <c r="Q22" s="155">
        <f>+'18.Others'!Q12/Q18*100</f>
        <v>26.10619469026549</v>
      </c>
      <c r="R22" s="155">
        <f>+'18.Others'!R12/R18*100</f>
        <v>0.12391573729863693</v>
      </c>
      <c r="S22" s="155" t="e">
        <f>+'18.Others'!S12/S18*100</f>
        <v>#DIV/0!</v>
      </c>
      <c r="T22" s="155" t="e">
        <f>+'18.Others'!T12/T18*100</f>
        <v>#DIV/0!</v>
      </c>
      <c r="U22" s="155"/>
      <c r="V22" s="155"/>
      <c r="W22" s="155">
        <v>0.5882352941176471</v>
      </c>
      <c r="X22" s="155">
        <v>0.5882352941176471</v>
      </c>
      <c r="Y22" s="155">
        <v>0.5882352941176471</v>
      </c>
      <c r="Z22" s="413">
        <f>+'18.Others'!Z12/Z18*100</f>
        <v>0.5882352941176471</v>
      </c>
      <c r="AA22" s="511">
        <f>+'18.Others'!AB12/AA18*100</f>
        <v>8.617747440273039</v>
      </c>
      <c r="AB22" s="513" t="e">
        <f>+'18.Others'!AD12/AB18*100</f>
        <v>#VALUE!</v>
      </c>
      <c r="AC22" s="80"/>
      <c r="AD22" s="80"/>
      <c r="AE22" s="80"/>
      <c r="AF22" s="256" t="e">
        <v>#DIV/0!</v>
      </c>
      <c r="AG22" s="553" t="e">
        <v>#DIV/0!</v>
      </c>
      <c r="AH22" s="256" t="e">
        <f>+'[1]18.Others'!AG12/AH18*100</f>
        <v>#DIV/0!</v>
      </c>
      <c r="AI22" s="474" t="e">
        <f>+'[1]18.Others'!AH12/AI18*100</f>
        <v>#DIV/0!</v>
      </c>
    </row>
    <row r="23" spans="1:35" s="67" customFormat="1" ht="14.25">
      <c r="A23" s="58" t="s">
        <v>81</v>
      </c>
      <c r="D23" s="129">
        <f>+'19.S''pore'!D12+'20.HK'!D12+'21.GreaterChina'!D12+'22.SSEA'!D12+'23.ROW'!D12</f>
        <v>2056</v>
      </c>
      <c r="E23" s="129">
        <f>+'19.S''pore'!E12+'20.HK'!E12+'21.GreaterChina'!E12+'22.SSEA'!E12+'23.ROW'!E12</f>
        <v>2064</v>
      </c>
      <c r="F23" s="156">
        <f>+'19.S''pore'!F12+'20.HK'!F12+'21.GreaterChina'!F12+'22.SSEA'!F12+'23.ROW'!F12</f>
        <v>2650</v>
      </c>
      <c r="G23" s="156">
        <v>3035</v>
      </c>
      <c r="H23" s="156"/>
      <c r="I23" s="129"/>
      <c r="J23" s="129">
        <f>+'19.S''pore'!J12+'20.HK'!J12+'21.GreaterChina'!J12+'22.SSEA'!J12+'23.ROW'!J12</f>
        <v>456</v>
      </c>
      <c r="K23" s="129">
        <f>+'19.S''pore'!K12+'20.HK'!K12+'21.GreaterChina'!K12+'22.SSEA'!K12+'23.ROW'!K12</f>
        <v>552</v>
      </c>
      <c r="L23" s="129">
        <f>+'19.S''pore'!L12+'20.HK'!L12+'21.GreaterChina'!L12+'22.SSEA'!L12+'23.ROW'!L12</f>
        <v>563</v>
      </c>
      <c r="M23" s="156">
        <f>+'19.S''pore'!M12+'20.HK'!M12+'21.GreaterChina'!M12+'22.SSEA'!M12+'23.ROW'!M12</f>
        <v>493</v>
      </c>
      <c r="N23" s="156">
        <f>+'19.S''pore'!N12+'20.HK'!N12+'21.GreaterChina'!N12+'22.SSEA'!N12+'23.ROW'!N12</f>
        <v>532</v>
      </c>
      <c r="O23" s="156">
        <f>+'19.S''pore'!O12+'20.HK'!O12+'21.GreaterChina'!O12+'22.SSEA'!O12+'23.ROW'!O12</f>
        <v>718</v>
      </c>
      <c r="P23" s="156">
        <f>+'19.S''pore'!P12+'20.HK'!P12+'21.GreaterChina'!P12+'22.SSEA'!P12+'23.ROW'!P12</f>
        <v>722</v>
      </c>
      <c r="Q23" s="156">
        <f>+'19.S''pore'!Q12+'20.HK'!Q12+'21.GreaterChina'!Q12+'22.SSEA'!Q12+'23.ROW'!Q12</f>
        <v>678</v>
      </c>
      <c r="R23" s="156">
        <f>+'19.S''pore'!R12+'20.HK'!R12+'21.GreaterChina'!R12+'22.SSEA'!R12+'23.ROW'!R12</f>
        <v>807</v>
      </c>
      <c r="S23" s="156">
        <f>+'19.S''pore'!S12+'20.HK'!S12+'21.GreaterChina'!S12+'22.SSEA'!S12+'23.ROW'!S12</f>
        <v>735</v>
      </c>
      <c r="T23" s="156">
        <f>+'19.S''pore'!T12+'20.HK'!T12+'21.GreaterChina'!T12+'22.SSEA'!T12+'23.ROW'!T12</f>
        <v>762</v>
      </c>
      <c r="U23" s="156">
        <f>+'19.S''pore'!U12+'20.HK'!U12+'21.GreaterChina'!U12+'22.SSEA'!U12+'23.ROW'!U12</f>
        <v>731</v>
      </c>
      <c r="V23" s="156">
        <f>+'19.S''pore'!V12+'20.HK'!V12+'21.GreaterChina'!V12+'22.SSEA'!V12+'23.ROW'!V12</f>
        <v>933</v>
      </c>
      <c r="W23" s="156">
        <f>+'19.S''pore'!W12+'20.HK'!W12+'21.GreaterChina'!W12+'22.SSEA'!W12+'23.ROW'!W12</f>
        <v>810</v>
      </c>
      <c r="X23" s="156">
        <f>+'19.S''pore'!X12+'20.HK'!X12+'21.GreaterChina'!X12+'22.SSEA'!X12+'23.ROW'!X12</f>
        <v>856</v>
      </c>
      <c r="Y23" s="156">
        <f>+'19.S''pore'!Y12+'20.HK'!Y12+'21.GreaterChina'!Y12+'22.SSEA'!Y12+'23.ROW'!Y12</f>
        <v>760</v>
      </c>
      <c r="Z23" s="451">
        <f>+'19.S''pore'!Z12+'20.HK'!Z12+'21.GreaterChina'!Z12+'22.SSEA'!Z12+'23.ROW'!Z12</f>
        <v>950</v>
      </c>
      <c r="AA23" s="451">
        <f>+'19.S''pore'!AA12+'20.HK'!AA12+'21.GreaterChina'!AA12+'22.SSEA'!AA12+'23.ROW'!AA12</f>
        <v>887</v>
      </c>
      <c r="AB23" s="559">
        <f>+'19.S''pore'!AB12+'20.HK'!AB12+'21.GreaterChina'!AB12+'22.SSEA'!AB12+'23.ROW'!AB12</f>
        <v>862</v>
      </c>
      <c r="AC23" s="376"/>
      <c r="AD23" s="376"/>
      <c r="AE23" s="376"/>
      <c r="AF23" s="375">
        <v>2599</v>
      </c>
      <c r="AG23" s="560">
        <f>'19.S''pore'!AG12+'20.HK'!AG12+'21.GreaterChina'!AG12+'22.SSEA'!AG12+'23.ROW'!AG12</f>
        <v>2699</v>
      </c>
      <c r="AH23" s="156">
        <f>'19.S''pore'!AI12+'20.HK'!AI12+'21.GreaterChina'!AI12+'22.SSEA'!AI12+'23.ROW'!AI12</f>
        <v>1743</v>
      </c>
      <c r="AI23" s="477">
        <f>'19.S''pore'!AJ12+'20.HK'!AJ12+'21.GreaterChina'!AJ12+'22.SSEA'!AJ12+'23.ROW'!AJ12</f>
        <v>1837</v>
      </c>
    </row>
    <row r="24" spans="2:35" s="67" customFormat="1" ht="14.25">
      <c r="B24" s="67" t="s">
        <v>48</v>
      </c>
      <c r="D24" s="72">
        <f>+'19.S''pore'!D12/D23*100</f>
        <v>65.36964980544747</v>
      </c>
      <c r="E24" s="72">
        <f>+'19.S''pore'!E12/E23*100</f>
        <v>57.46124031007752</v>
      </c>
      <c r="F24" s="155">
        <f>+'19.S''pore'!F12/F23*100</f>
        <v>63.698113207547166</v>
      </c>
      <c r="G24" s="155">
        <v>61.84514003294893</v>
      </c>
      <c r="H24" s="155">
        <v>61.893420660910984</v>
      </c>
      <c r="I24" s="72"/>
      <c r="J24" s="72">
        <f>+'19.S''pore'!J12/J23*100</f>
        <v>56.79824561403509</v>
      </c>
      <c r="K24" s="72">
        <f>+'19.S''pore'!K12/K23*100</f>
        <v>58.69565217391305</v>
      </c>
      <c r="L24" s="72">
        <f>+'19.S''pore'!L12/L23*100</f>
        <v>47.60213143872114</v>
      </c>
      <c r="M24" s="155">
        <f>+'19.S''pore'!M12/M23*100</f>
        <v>67.95131845841786</v>
      </c>
      <c r="N24" s="155">
        <f>+'19.S''pore'!N12/N23*100</f>
        <v>46.804511278195484</v>
      </c>
      <c r="O24" s="155">
        <f>+'19.S''pore'!O12/O23*100</f>
        <v>74.93036211699165</v>
      </c>
      <c r="P24" s="155">
        <f>+'19.S''pore'!P12/P23*100</f>
        <v>59.556786703601105</v>
      </c>
      <c r="Q24" s="155">
        <f>+'19.S''pore'!Q12/Q23*100</f>
        <v>69.46902654867256</v>
      </c>
      <c r="R24" s="155">
        <f>+'19.S''pore'!R12/R23*100</f>
        <v>54.770755885997524</v>
      </c>
      <c r="S24" s="155">
        <f>+'19.S''pore'!S12/S23*100</f>
        <v>62.44897959183674</v>
      </c>
      <c r="T24" s="155">
        <f>+'19.S''pore'!T12/T23*100</f>
        <v>66.40419947506561</v>
      </c>
      <c r="U24" s="155">
        <f>+'19.S''pore'!U12/U23*100</f>
        <v>64.29548563611492</v>
      </c>
      <c r="V24" s="155">
        <f>+'19.S''pore'!V12/V23*100</f>
        <v>58.62808145766345</v>
      </c>
      <c r="W24" s="155">
        <f>+'19.S''pore'!W12/W23*100</f>
        <v>57.03703703703704</v>
      </c>
      <c r="X24" s="155">
        <f>+'19.S''pore'!X12/X23*100</f>
        <v>62.5</v>
      </c>
      <c r="Y24" s="155">
        <f>+'19.S''pore'!Y12/Y23*100</f>
        <v>70.39473684210526</v>
      </c>
      <c r="Z24" s="413">
        <f>+'19.S''pore'!Z12/Z23*100</f>
        <v>67.47368421052632</v>
      </c>
      <c r="AA24" s="413">
        <f>+'19.S''pore'!AA12/AA23*100</f>
        <v>57.49718151071026</v>
      </c>
      <c r="AB24" s="565">
        <f>+'19.S''pore'!AB12/AB23*100</f>
        <v>69.95359628770301</v>
      </c>
      <c r="AC24" s="80"/>
      <c r="AD24" s="80"/>
      <c r="AE24" s="80"/>
      <c r="AF24" s="256">
        <v>59.407464409388226</v>
      </c>
      <c r="AG24" s="367">
        <f>'19.S''pore'!AG12/AG23*100</f>
        <v>64.98703223416081</v>
      </c>
      <c r="AH24" s="256">
        <f>('19.S''pore'!AI12/'14.Mix'!AH23)*100</f>
        <v>57.88869764773379</v>
      </c>
      <c r="AI24" s="367">
        <f>('19.S''pore'!AJ12/'14.Mix'!AI23)*100</f>
        <v>62.65650517147523</v>
      </c>
    </row>
    <row r="25" spans="2:35" s="67" customFormat="1" ht="14.25">
      <c r="B25" s="67" t="s">
        <v>49</v>
      </c>
      <c r="D25" s="72">
        <f>+'20.HK'!D12/D23*100</f>
        <v>18.96887159533074</v>
      </c>
      <c r="E25" s="72">
        <f>+'20.HK'!E12/E23*100</f>
        <v>22.48062015503876</v>
      </c>
      <c r="F25" s="155">
        <f>+'20.HK'!F12/F23*100</f>
        <v>21.849056603773583</v>
      </c>
      <c r="G25" s="155">
        <v>18.813838550247116</v>
      </c>
      <c r="H25" s="155">
        <v>21.315867817802918</v>
      </c>
      <c r="I25" s="72"/>
      <c r="J25" s="72">
        <f>+'20.HK'!J12/J23*100</f>
        <v>20.614035087719298</v>
      </c>
      <c r="K25" s="72">
        <f>+'20.HK'!K12/K23*100</f>
        <v>17.934782608695652</v>
      </c>
      <c r="L25" s="72">
        <f>+'20.HK'!L12/L23*100</f>
        <v>25.399644760213143</v>
      </c>
      <c r="M25" s="155">
        <f>+'20.HK'!M12/M23*100</f>
        <v>25.963488843813387</v>
      </c>
      <c r="N25" s="155">
        <f>+'20.HK'!N12/N23*100</f>
        <v>33.83458646616541</v>
      </c>
      <c r="O25" s="155">
        <f>+'20.HK'!O12/O23*100</f>
        <v>9.052924791086351</v>
      </c>
      <c r="P25" s="155">
        <f>+'20.HK'!P12/P23*100</f>
        <v>26.31578947368421</v>
      </c>
      <c r="Q25" s="155">
        <f>+'20.HK'!Q12/Q23*100</f>
        <v>21.238938053097346</v>
      </c>
      <c r="R25" s="155">
        <f>+'20.HK'!R12/R23*100</f>
        <v>23.543990086741015</v>
      </c>
      <c r="S25" s="155">
        <f>+'20.HK'!S12/S23*100</f>
        <v>19.45578231292517</v>
      </c>
      <c r="T25" s="155">
        <f>+'20.HK'!T12/T23*100</f>
        <v>14.173228346456693</v>
      </c>
      <c r="U25" s="155">
        <f>+'20.HK'!U12/U23*100</f>
        <v>17.783857729138166</v>
      </c>
      <c r="V25" s="155">
        <f>+'20.HK'!V12/V23*100</f>
        <v>20.364415862808148</v>
      </c>
      <c r="W25" s="155">
        <f>+'20.HK'!W12/W23*100</f>
        <v>21.85185185185185</v>
      </c>
      <c r="X25" s="155">
        <f>+'20.HK'!X12/X23*100</f>
        <v>21.845794392523366</v>
      </c>
      <c r="Y25" s="155">
        <f>+'20.HK'!Y12/Y23*100</f>
        <v>21.31578947368421</v>
      </c>
      <c r="Z25" s="413">
        <f>+'20.HK'!Z12/Z23*100</f>
        <v>23.36842105263158</v>
      </c>
      <c r="AA25" s="413">
        <f>+'20.HK'!AA12/AA23*100</f>
        <v>28.635851183765503</v>
      </c>
      <c r="AB25" s="565">
        <f>+'20.HK'!AB12/AB23*100</f>
        <v>18.445475638051047</v>
      </c>
      <c r="AC25" s="80"/>
      <c r="AD25" s="80"/>
      <c r="AE25" s="80"/>
      <c r="AF25" s="256">
        <v>21.31589072720277</v>
      </c>
      <c r="AG25" s="367">
        <f>'20.HK'!AG12/AG23*100</f>
        <v>23.52723230826232</v>
      </c>
      <c r="AH25" s="256">
        <f>('20.HK'!AI12/'14.Mix'!AH23)*100</f>
        <v>21.055651176133104</v>
      </c>
      <c r="AI25" s="367">
        <f>('20.HK'!AJ12/'14.Mix'!AI23)*100</f>
        <v>25.911812738160044</v>
      </c>
    </row>
    <row r="26" spans="2:35" s="67" customFormat="1" ht="14.25">
      <c r="B26" s="67" t="s">
        <v>73</v>
      </c>
      <c r="D26" s="72">
        <f>+'21.GreaterChina'!D12/D23*100</f>
        <v>5.058365758754864</v>
      </c>
      <c r="E26" s="72">
        <f>+'21.GreaterChina'!E12/E23*100</f>
        <v>3.2945736434108532</v>
      </c>
      <c r="F26" s="155">
        <f>+'21.GreaterChina'!F12/F23*100</f>
        <v>1.7735849056603774</v>
      </c>
      <c r="G26" s="155">
        <v>5.864909390444811</v>
      </c>
      <c r="H26" s="155">
        <v>3.274784161952962</v>
      </c>
      <c r="I26" s="72"/>
      <c r="J26" s="72">
        <f>+'21.GreaterChina'!J12/J23*100</f>
        <v>8.552631578947368</v>
      </c>
      <c r="K26" s="72">
        <f>+'21.GreaterChina'!K12/K23*100</f>
        <v>3.804347826086957</v>
      </c>
      <c r="L26" s="72">
        <f>+'21.GreaterChina'!L12/L23*100</f>
        <v>3.7300177619893424</v>
      </c>
      <c r="M26" s="155">
        <f>+'21.GreaterChina'!M12/M23*100</f>
        <v>-2.636916835699797</v>
      </c>
      <c r="N26" s="155">
        <f>+'21.GreaterChina'!N12/N23*100</f>
        <v>5.639097744360902</v>
      </c>
      <c r="O26" s="155">
        <f>+'21.GreaterChina'!O12/O23*100</f>
        <v>1.6713091922005572</v>
      </c>
      <c r="P26" s="155">
        <f>+'21.GreaterChina'!P12/P23*100</f>
        <v>2.7700831024930745</v>
      </c>
      <c r="Q26" s="155">
        <f>+'21.GreaterChina'!Q12/Q23*100</f>
        <v>-2.2123893805309733</v>
      </c>
      <c r="R26" s="155">
        <f>+'21.GreaterChina'!R12/R23*100</f>
        <v>6.567534076827757</v>
      </c>
      <c r="S26" s="155">
        <f>+'21.GreaterChina'!S12/S23*100</f>
        <v>5.850340136054422</v>
      </c>
      <c r="T26" s="155">
        <f>+'21.GreaterChina'!T12/T23*100</f>
        <v>6.036745406824147</v>
      </c>
      <c r="U26" s="155">
        <f>+'21.GreaterChina'!U12/U23*100</f>
        <v>4.924760601915184</v>
      </c>
      <c r="V26" s="155">
        <f>+'21.GreaterChina'!V12/V23*100</f>
        <v>5.894962486602358</v>
      </c>
      <c r="W26" s="155">
        <f>+'21.GreaterChina'!W12/W23*100</f>
        <v>8.271604938271606</v>
      </c>
      <c r="X26" s="155">
        <f>+'21.GreaterChina'!X12/X23*100</f>
        <v>1.2850467289719625</v>
      </c>
      <c r="Y26" s="155">
        <f>+'21.GreaterChina'!Y12/Y23*100</f>
        <v>-3.026315789473684</v>
      </c>
      <c r="Z26" s="413">
        <f>+'21.GreaterChina'!Z12/Z23*100</f>
        <v>3.8947368421052633</v>
      </c>
      <c r="AA26" s="413">
        <f>+'21.GreaterChina'!AA12/AA23*100</f>
        <v>2.367531003382187</v>
      </c>
      <c r="AB26" s="565">
        <f>+'21.GreaterChina'!AB12/AB23*100</f>
        <v>1.8561484918793503</v>
      </c>
      <c r="AC26" s="80"/>
      <c r="AD26" s="80"/>
      <c r="AE26" s="80"/>
      <c r="AF26" s="256">
        <v>5.117352828010773</v>
      </c>
      <c r="AG26" s="367">
        <f>'21.GreaterChina'!AG12/AG23*100</f>
        <v>2.741756206002223</v>
      </c>
      <c r="AH26" s="256">
        <f>('21.GreaterChina'!AI12/'14.Mix'!AH23)*100</f>
        <v>6.99942627653471</v>
      </c>
      <c r="AI26" s="367">
        <f>('21.GreaterChina'!AJ12/'14.Mix'!AI23)*100</f>
        <v>3.1573217201959713</v>
      </c>
    </row>
    <row r="27" spans="2:35" s="67" customFormat="1" ht="14.25">
      <c r="B27" s="67" t="s">
        <v>93</v>
      </c>
      <c r="D27" s="72">
        <f>+'22.SSEA'!D12/D23*100</f>
        <v>7.392996108949417</v>
      </c>
      <c r="E27" s="72">
        <f>+'22.SSEA'!E12/E23*100</f>
        <v>10.949612403100776</v>
      </c>
      <c r="F27" s="155">
        <f>+'22.SSEA'!F12/F23*100</f>
        <v>7.660377358490567</v>
      </c>
      <c r="G27" s="155">
        <v>9.390444810543658</v>
      </c>
      <c r="H27" s="155">
        <v>8.722834176838344</v>
      </c>
      <c r="I27" s="72"/>
      <c r="J27" s="72">
        <f>+'22.SSEA'!J12/J23*100</f>
        <v>13.815789473684212</v>
      </c>
      <c r="K27" s="72">
        <f>+'22.SSEA'!K12/K23*100</f>
        <v>10.507246376811594</v>
      </c>
      <c r="L27" s="72">
        <f>+'22.SSEA'!L12/L23*100</f>
        <v>12.433392539964476</v>
      </c>
      <c r="M27" s="155">
        <f>+'22.SSEA'!M12/M23*100</f>
        <v>7.099391480730223</v>
      </c>
      <c r="N27" s="155">
        <f>+'22.SSEA'!N12/N23*100</f>
        <v>11.654135338345863</v>
      </c>
      <c r="O27" s="155">
        <f>+'22.SSEA'!O12/O23*100</f>
        <v>7.66016713091922</v>
      </c>
      <c r="P27" s="155">
        <f>+'22.SSEA'!P12/P23*100</f>
        <v>4.7091412742382275</v>
      </c>
      <c r="Q27" s="155">
        <f>+'22.SSEA'!Q12/Q23*100</f>
        <v>7.669616519174041</v>
      </c>
      <c r="R27" s="155">
        <f>+'22.SSEA'!R12/R23*100</f>
        <v>9.293680297397769</v>
      </c>
      <c r="S27" s="155">
        <f>+'22.SSEA'!S12/S23*100</f>
        <v>8.435374149659863</v>
      </c>
      <c r="T27" s="155">
        <f>+'22.SSEA'!T12/T23*100</f>
        <v>11.548556430446194</v>
      </c>
      <c r="U27" s="155">
        <f>+'22.SSEA'!U12/U23*100</f>
        <v>8.207934336525307</v>
      </c>
      <c r="V27" s="155">
        <f>+'22.SSEA'!V12/V23*100</f>
        <v>10.289389067524116</v>
      </c>
      <c r="W27" s="155">
        <f>+'22.SSEA'!W12/W23*100</f>
        <v>7.28395061728395</v>
      </c>
      <c r="X27" s="155">
        <f>+'22.SSEA'!X12/X23*100</f>
        <v>8.177570093457943</v>
      </c>
      <c r="Y27" s="155">
        <f>+'22.SSEA'!Y12/Y23*100</f>
        <v>8.947368421052632</v>
      </c>
      <c r="Z27" s="413">
        <f>+'22.SSEA'!Z12/Z23*100</f>
        <v>7.2631578947368425</v>
      </c>
      <c r="AA27" s="413">
        <f>+'22.SSEA'!AA12/AA23*100</f>
        <v>5.975197294250282</v>
      </c>
      <c r="AB27" s="565">
        <f>+'22.SSEA'!AB12/AB23*100</f>
        <v>6.2645011600928076</v>
      </c>
      <c r="AC27" s="80"/>
      <c r="AD27" s="80"/>
      <c r="AE27" s="80"/>
      <c r="AF27" s="256">
        <v>8.65717583686033</v>
      </c>
      <c r="AG27" s="367">
        <f>'22.SSEA'!AG12/AG23*100</f>
        <v>6.520933679140422</v>
      </c>
      <c r="AH27" s="256">
        <f>('22.SSEA'!AI12/'14.Mix'!AH23)*100</f>
        <v>8.89271371199082</v>
      </c>
      <c r="AI27" s="367">
        <f>('22.SSEA'!AJ12/'14.Mix'!AI23)*100</f>
        <v>6.641262928688079</v>
      </c>
    </row>
    <row r="28" spans="2:35" s="67" customFormat="1" ht="14.25">
      <c r="B28" s="67" t="s">
        <v>75</v>
      </c>
      <c r="D28" s="72">
        <f>+'23.ROW'!D12/D23*100</f>
        <v>3.2101167315175094</v>
      </c>
      <c r="E28" s="72">
        <f>+'23.ROW'!E12/E23*100</f>
        <v>5.813953488372093</v>
      </c>
      <c r="F28" s="155">
        <f>+'23.ROW'!F12/F23*100</f>
        <v>5.018867924528301</v>
      </c>
      <c r="G28" s="155">
        <v>4.085667215815486</v>
      </c>
      <c r="H28" s="155">
        <v>4.79309318249479</v>
      </c>
      <c r="I28" s="72"/>
      <c r="J28" s="72">
        <f>+'23.ROW'!J12/J23*100</f>
        <v>0.21929824561403508</v>
      </c>
      <c r="K28" s="72">
        <f>+'23.ROW'!K12/K23*100</f>
        <v>9.057971014492754</v>
      </c>
      <c r="L28" s="72">
        <f>+'23.ROW'!L12/L23*100</f>
        <v>10.8348134991119</v>
      </c>
      <c r="M28" s="155">
        <f>+'23.ROW'!M12/M23*100</f>
        <v>1.6227180527383367</v>
      </c>
      <c r="N28" s="155">
        <f>+'23.ROW'!N12/N23*100</f>
        <v>2.0676691729323307</v>
      </c>
      <c r="O28" s="155">
        <f>+'23.ROW'!O12/O23*100</f>
        <v>6.685236768802229</v>
      </c>
      <c r="P28" s="155">
        <f>+'23.ROW'!P12/P23*100</f>
        <v>6.64819944598338</v>
      </c>
      <c r="Q28" s="155">
        <f>+'23.ROW'!Q12/Q23*100</f>
        <v>3.8348082595870205</v>
      </c>
      <c r="R28" s="155">
        <f>+'23.ROW'!R12/R23*100</f>
        <v>5.8240396530359355</v>
      </c>
      <c r="S28" s="155">
        <f>+'23.ROW'!S12/S23*100</f>
        <v>3.8095238095238098</v>
      </c>
      <c r="T28" s="155">
        <f>+'23.ROW'!T12/T23*100</f>
        <v>1.837270341207349</v>
      </c>
      <c r="U28" s="155">
        <f>+'23.ROW'!U12/U23*100</f>
        <v>4.7879616963064295</v>
      </c>
      <c r="V28" s="155">
        <f>+'23.ROW'!V12/V23*100</f>
        <v>4.823151125401929</v>
      </c>
      <c r="W28" s="155">
        <f>+'23.ROW'!W12/W23*100</f>
        <v>5.555555555555555</v>
      </c>
      <c r="X28" s="155">
        <f>+'23.ROW'!X12/X23*100</f>
        <v>6.191588785046729</v>
      </c>
      <c r="Y28" s="155">
        <f>+'23.ROW'!Y12/Y23*100</f>
        <v>2.368421052631579</v>
      </c>
      <c r="Z28" s="413">
        <f>+'23.ROW'!Z12/Z23*100</f>
        <v>-2</v>
      </c>
      <c r="AA28" s="413">
        <f>+'23.ROW'!AA12/AA23*100</f>
        <v>5.5242390078917705</v>
      </c>
      <c r="AB28" s="565">
        <f>+'23.ROW'!AB12/AB23*100</f>
        <v>3.480278422273782</v>
      </c>
      <c r="AC28" s="80"/>
      <c r="AD28" s="80"/>
      <c r="AE28" s="80"/>
      <c r="AF28" s="256">
        <v>5.502116198537899</v>
      </c>
      <c r="AG28" s="367">
        <f>'23.ROW'!AG12/AG23*100</f>
        <v>2.223045572434235</v>
      </c>
      <c r="AH28" s="256">
        <f>('23.ROW'!AI12/'14.Mix'!AH23)*100</f>
        <v>5.163511187607573</v>
      </c>
      <c r="AI28" s="367">
        <f>('23.ROW'!AJ12/'14.Mix'!AI23)*100</f>
        <v>1.633097441480675</v>
      </c>
    </row>
    <row r="29" spans="4:35" s="67" customFormat="1" ht="14.25">
      <c r="D29" s="103"/>
      <c r="E29" s="103"/>
      <c r="F29" s="114"/>
      <c r="G29" s="114"/>
      <c r="H29" s="114"/>
      <c r="I29" s="103"/>
      <c r="J29" s="103"/>
      <c r="K29" s="103"/>
      <c r="L29" s="103"/>
      <c r="M29" s="155"/>
      <c r="N29" s="155"/>
      <c r="O29" s="155"/>
      <c r="P29" s="155"/>
      <c r="Q29" s="155"/>
      <c r="R29" s="155"/>
      <c r="S29" s="155"/>
      <c r="T29" s="155"/>
      <c r="U29" s="155"/>
      <c r="V29" s="155"/>
      <c r="W29" s="155"/>
      <c r="X29" s="155"/>
      <c r="Y29" s="155"/>
      <c r="Z29" s="413"/>
      <c r="AA29" s="511"/>
      <c r="AB29" s="513"/>
      <c r="AC29" s="80"/>
      <c r="AD29" s="80"/>
      <c r="AE29" s="80"/>
      <c r="AF29" s="256"/>
      <c r="AG29" s="553"/>
      <c r="AH29" s="256"/>
      <c r="AI29" s="474"/>
    </row>
    <row r="30" spans="1:35" s="67" customFormat="1" ht="15">
      <c r="A30" s="66" t="s">
        <v>133</v>
      </c>
      <c r="D30" s="103"/>
      <c r="E30" s="103"/>
      <c r="F30" s="114"/>
      <c r="G30" s="114"/>
      <c r="H30" s="114"/>
      <c r="I30" s="103"/>
      <c r="J30" s="103"/>
      <c r="K30" s="103"/>
      <c r="L30" s="103"/>
      <c r="M30" s="114"/>
      <c r="N30" s="114"/>
      <c r="O30" s="114"/>
      <c r="P30" s="114"/>
      <c r="Q30" s="114"/>
      <c r="R30" s="114"/>
      <c r="S30" s="114"/>
      <c r="T30" s="114"/>
      <c r="U30" s="114"/>
      <c r="V30" s="114"/>
      <c r="W30" s="114"/>
      <c r="X30" s="114"/>
      <c r="Y30" s="114"/>
      <c r="Z30" s="399"/>
      <c r="AA30" s="421"/>
      <c r="AB30" s="491"/>
      <c r="AC30" s="80"/>
      <c r="AD30" s="80"/>
      <c r="AE30" s="80"/>
      <c r="AF30" s="369"/>
      <c r="AG30" s="557"/>
      <c r="AH30" s="369"/>
      <c r="AI30" s="473"/>
    </row>
    <row r="31" spans="1:35" s="67" customFormat="1" ht="14.25">
      <c r="A31" s="49" t="s">
        <v>82</v>
      </c>
      <c r="D31" s="129">
        <f>+'15.Consumer'!D15+'16.Institutional'!D15+'17.Treasury'!D15+'18.Others'!D15</f>
        <v>248871</v>
      </c>
      <c r="E31" s="129">
        <f>+'15.Consumer'!E15+'16.Institutional'!E15+'17.Treasury'!E15+'18.Others'!E15</f>
        <v>252797</v>
      </c>
      <c r="F31" s="156">
        <f>+'15.Consumer'!F15+'16.Institutional'!F15+'17.Treasury'!F15+'18.Others'!F15</f>
        <v>278908</v>
      </c>
      <c r="G31" s="156">
        <v>336045</v>
      </c>
      <c r="H31" s="156"/>
      <c r="I31" s="129"/>
      <c r="J31" s="129">
        <f>+'15.Consumer'!J15+'16.Institutional'!J15+'17.Treasury'!J15+'18.Others'!J15</f>
        <v>267405</v>
      </c>
      <c r="K31" s="129">
        <f>+'15.Consumer'!K15+'16.Institutional'!K15+'17.Treasury'!K15+'18.Others'!K15</f>
        <v>257101</v>
      </c>
      <c r="L31" s="129">
        <f>+'15.Consumer'!L15+'16.Institutional'!L15+'17.Treasury'!L15+'18.Others'!L15</f>
        <v>253623</v>
      </c>
      <c r="M31" s="156">
        <f>+'15.Consumer'!M15+'16.Institutional'!M15+'17.Treasury'!M15+'18.Others'!M15</f>
        <v>252797</v>
      </c>
      <c r="N31" s="156">
        <f>+'15.Consumer'!N15+'16.Institutional'!N15+'17.Treasury'!N15+'18.Others'!N15</f>
        <v>256216</v>
      </c>
      <c r="O31" s="156">
        <f>+'15.Consumer'!O15+'16.Institutional'!O15+'17.Treasury'!O15+'18.Others'!O15</f>
        <v>271448</v>
      </c>
      <c r="P31" s="156">
        <f>+'15.Consumer'!P15+'16.Institutional'!P15+'17.Treasury'!P15+'18.Others'!P15</f>
        <v>274634</v>
      </c>
      <c r="Q31" s="156">
        <f>+'15.Consumer'!Q15+'16.Institutional'!Q15+'17.Treasury'!Q15+'18.Others'!Q15</f>
        <v>278908</v>
      </c>
      <c r="R31" s="156">
        <f>+'15.Consumer'!R15+'16.Institutional'!R15+'17.Treasury'!R15+'18.Others'!R15</f>
        <v>288135</v>
      </c>
      <c r="S31" s="156">
        <f>+'15.Consumer'!S15+'16.Institutional'!S15+'17.Treasury'!S15+'18.Others'!S15</f>
        <v>304690</v>
      </c>
      <c r="T31" s="156">
        <f>+'15.Consumer'!T15+'16.Institutional'!T15+'17.Treasury'!T15+'18.Others'!T15</f>
        <v>333839</v>
      </c>
      <c r="U31" s="156">
        <f>+'15.Consumer'!U15+'16.Institutional'!U15+'17.Treasury'!U15+'18.Others'!U15</f>
        <v>336045</v>
      </c>
      <c r="V31" s="156">
        <f>+'15.Consumer'!V15+'16.Institutional'!V15+'17.Treasury'!V15+'18.Others'!V15</f>
        <v>343478</v>
      </c>
      <c r="W31" s="156">
        <f>+'15.Consumer'!W15+'16.Institutional'!W15+'17.Treasury'!W15+'18.Others'!W15</f>
        <v>348218</v>
      </c>
      <c r="X31" s="156">
        <f>+'15.Consumer'!X15+'16.Institutional'!X15+'17.Treasury'!X15+'18.Others'!X15</f>
        <v>355800</v>
      </c>
      <c r="Y31" s="156">
        <f>+'15.Consumer'!Y15+'16.Institutional'!Y15+'17.Treasury'!Y15+'18.Others'!Y15</f>
        <v>348231</v>
      </c>
      <c r="Z31" s="451">
        <f>+'15.Consumer'!Z15+'16.Institutional'!Z15+'17.Treasury'!Z15+'18.Others'!Z15</f>
        <v>368457</v>
      </c>
      <c r="AA31" s="451">
        <f>+'15.Consumer'!AB15+'16.Institutional'!AB15+'17.Treasury'!AB15+'18.Others'!AB15</f>
        <v>396571</v>
      </c>
      <c r="AB31" s="559">
        <f>+'15.Consumer'!AB15+'16.Institutional'!AB15+'17.Treasury'!AB15+'18.Others'!AB15</f>
        <v>396571</v>
      </c>
      <c r="AC31" s="588"/>
      <c r="AD31" s="588"/>
      <c r="AE31" s="588"/>
      <c r="AF31" s="453">
        <v>355800</v>
      </c>
      <c r="AG31" s="560">
        <f>AB31</f>
        <v>396571</v>
      </c>
      <c r="AH31" s="156">
        <f>'15.Consumer'!AI15+'16.Institutional'!AI15+'17.Treasury'!AI15+'18.Others'!AI15</f>
        <v>348218</v>
      </c>
      <c r="AI31" s="381">
        <f>'15.Consumer'!AJ15+'16.Institutional'!AJ15+'17.Treasury'!AJ15+'18.Others'!AJ15</f>
        <v>381798</v>
      </c>
    </row>
    <row r="32" spans="2:35" s="67" customFormat="1" ht="14.25">
      <c r="B32" s="67" t="s">
        <v>376</v>
      </c>
      <c r="D32" s="135">
        <f>+'15.Consumer'!D15/D31*100</f>
        <v>15.887347260227186</v>
      </c>
      <c r="E32" s="135">
        <f>+'15.Consumer'!E15/E31*100</f>
        <v>17.83802814115674</v>
      </c>
      <c r="F32" s="155">
        <f>+'15.Consumer'!F15/F31*100</f>
        <v>18.4032010555452</v>
      </c>
      <c r="G32" s="155">
        <v>16.714130547992085</v>
      </c>
      <c r="H32" s="155">
        <v>18.15806174636951</v>
      </c>
      <c r="I32" s="72"/>
      <c r="J32" s="135">
        <f>+'15.Consumer'!J15/J31*100</f>
        <v>15.012808287055215</v>
      </c>
      <c r="K32" s="135">
        <f>+'15.Consumer'!K15/K31*100</f>
        <v>15.460850016141517</v>
      </c>
      <c r="L32" s="135">
        <f>+'15.Consumer'!L15/L31*100</f>
        <v>16.442515071582626</v>
      </c>
      <c r="M32" s="155">
        <f>+'15.Consumer'!M15/M31*100</f>
        <v>17.83802814115674</v>
      </c>
      <c r="N32" s="155">
        <f>+'15.Consumer'!N15/N31*100</f>
        <v>18.265447903331562</v>
      </c>
      <c r="O32" s="155">
        <f>+'15.Consumer'!O15/O31*100</f>
        <v>18.14233296985058</v>
      </c>
      <c r="P32" s="155">
        <f>+'15.Consumer'!P15/P31*100</f>
        <v>18.09899721083333</v>
      </c>
      <c r="Q32" s="155">
        <f>+'15.Consumer'!Q15/Q31*100</f>
        <v>18.4032010555452</v>
      </c>
      <c r="R32" s="155">
        <f>+'15.Consumer'!R15/R31*100</f>
        <v>18.05785482499523</v>
      </c>
      <c r="S32" s="155">
        <f>+'15.Consumer'!S15/S31*100</f>
        <v>17.260494272867504</v>
      </c>
      <c r="T32" s="155">
        <f>+'15.Consumer'!T15/T31*100</f>
        <v>16.45703467839288</v>
      </c>
      <c r="U32" s="155">
        <f>+'15.Consumer'!U15/U31*100</f>
        <v>16.714130547992085</v>
      </c>
      <c r="V32" s="155">
        <f>+'15.Consumer'!V15/V31*100</f>
        <v>17.092215513075075</v>
      </c>
      <c r="W32" s="155">
        <f>+'15.Consumer'!W15/W31*100</f>
        <v>17.47296233968376</v>
      </c>
      <c r="X32" s="155">
        <f>+'15.Consumer'!X15/X31*100</f>
        <v>17.342608206857786</v>
      </c>
      <c r="Y32" s="155">
        <f>+'15.Consumer'!Y15/Y31*100</f>
        <v>18.15806174636951</v>
      </c>
      <c r="Z32" s="413">
        <f>+'15.Consumer'!Z15/Z31*100</f>
        <v>17.732326974382357</v>
      </c>
      <c r="AA32" s="413">
        <f>+'15.Consumer'!AB15/AA31*100</f>
        <v>17.879774365750396</v>
      </c>
      <c r="AB32" s="565">
        <f>+'15.Consumer'!AB15/AB31*100</f>
        <v>17.879774365750396</v>
      </c>
      <c r="AC32" s="80"/>
      <c r="AD32" s="80"/>
      <c r="AE32" s="80"/>
      <c r="AF32" s="256">
        <v>17.342608206857786</v>
      </c>
      <c r="AG32" s="565">
        <f>+'15.Consumer'!AG15/AG31*100</f>
        <v>17.879774365750396</v>
      </c>
      <c r="AH32" s="256">
        <f>('15.Consumer'!AI15/'14.Mix'!AH31)*100</f>
        <v>17.47296233968376</v>
      </c>
      <c r="AI32" s="367">
        <f>('15.Consumer'!AJ15/'14.Mix'!AI31)*100</f>
        <v>17.85918208057664</v>
      </c>
    </row>
    <row r="33" spans="2:35" s="67" customFormat="1" ht="14.25">
      <c r="B33" s="67" t="s">
        <v>130</v>
      </c>
      <c r="D33" s="135">
        <f>+'16.Institutional'!D15/D31*100</f>
        <v>40.19311209421749</v>
      </c>
      <c r="E33" s="135">
        <f>+'16.Institutional'!E15/E31*100</f>
        <v>39.81415918701567</v>
      </c>
      <c r="F33" s="155">
        <f>+'16.Institutional'!F15/F31*100</f>
        <v>42.51294333615386</v>
      </c>
      <c r="G33" s="155">
        <v>49.37731553809758</v>
      </c>
      <c r="H33" s="155">
        <v>50.84929256729011</v>
      </c>
      <c r="I33" s="72"/>
      <c r="J33" s="135">
        <f>+'16.Institutional'!J15/J31*100</f>
        <v>38.81901983882126</v>
      </c>
      <c r="K33" s="135">
        <f>+'16.Institutional'!K15/K31*100</f>
        <v>39.36196280839048</v>
      </c>
      <c r="L33" s="135">
        <f>+'16.Institutional'!L15/L31*100</f>
        <v>39.60918370967933</v>
      </c>
      <c r="M33" s="155">
        <f>+'16.Institutional'!M15/M31*100</f>
        <v>39.81415918701567</v>
      </c>
      <c r="N33" s="155">
        <f>+'16.Institutional'!N15/N31*100</f>
        <v>39.325412932837914</v>
      </c>
      <c r="O33" s="155">
        <f>+'16.Institutional'!O15/O31*100</f>
        <v>41.99478353128407</v>
      </c>
      <c r="P33" s="155">
        <f>+'16.Institutional'!P15/P31*100</f>
        <v>42.015919369051176</v>
      </c>
      <c r="Q33" s="155">
        <f>+'16.Institutional'!Q15/Q31*100</f>
        <v>42.51294333615386</v>
      </c>
      <c r="R33" s="155">
        <f>+'16.Institutional'!R15/R31*100</f>
        <v>43.55944262238187</v>
      </c>
      <c r="S33" s="155">
        <f>+'16.Institutional'!S15/S31*100</f>
        <v>44.3385079917293</v>
      </c>
      <c r="T33" s="155">
        <f>+'16.Institutional'!T15/T31*100</f>
        <v>47.215573974281014</v>
      </c>
      <c r="U33" s="155">
        <f>+'16.Institutional'!U15/U31*100</f>
        <v>49.37731553809758</v>
      </c>
      <c r="V33" s="155">
        <f>+'16.Institutional'!V15/V31*100</f>
        <v>48.24821385940293</v>
      </c>
      <c r="W33" s="155">
        <f>+'16.Institutional'!W15/W31*100</f>
        <v>49.495431023094724</v>
      </c>
      <c r="X33" s="155">
        <f>+'16.Institutional'!X15/X31*100</f>
        <v>47.65879707700956</v>
      </c>
      <c r="Y33" s="155">
        <f>+'16.Institutional'!Y15/Y31*100</f>
        <v>50.348475580864424</v>
      </c>
      <c r="Z33" s="413">
        <f>+'16.Institutional'!Z15/Z31*100</f>
        <v>51.306936766026965</v>
      </c>
      <c r="AA33" s="413">
        <f>+'16.Institutional'!AB15/AA31*100</f>
        <v>51.161582667416425</v>
      </c>
      <c r="AB33" s="565">
        <f>+'16.Institutional'!AB15/AB31*100</f>
        <v>51.161582667416425</v>
      </c>
      <c r="AC33" s="80"/>
      <c r="AD33" s="80"/>
      <c r="AE33" s="80"/>
      <c r="AF33" s="256">
        <v>48.26531759415402</v>
      </c>
      <c r="AG33" s="565">
        <f>+'16.Institutional'!AG15/AG31*100</f>
        <v>51.161582667416425</v>
      </c>
      <c r="AH33" s="256">
        <f>('16.Institutional'!AI15/'14.Mix'!AH31)*100</f>
        <v>49.495431023094724</v>
      </c>
      <c r="AI33" s="367">
        <f>('16.Institutional'!AJ15/'14.Mix'!AI31)*100</f>
        <v>51.97303286030833</v>
      </c>
    </row>
    <row r="34" spans="2:35" s="67" customFormat="1" ht="14.25">
      <c r="B34" s="67" t="s">
        <v>332</v>
      </c>
      <c r="D34" s="135">
        <f>+'17.Treasury'!D15/D31*100</f>
        <v>40.822353749532894</v>
      </c>
      <c r="E34" s="135">
        <f>+'17.Treasury'!E15/E31*100</f>
        <v>38.750064280826116</v>
      </c>
      <c r="F34" s="155">
        <f>+'17.Treasury'!F15/F31*100</f>
        <v>35.40056219255095</v>
      </c>
      <c r="G34" s="155">
        <v>30.918478180005653</v>
      </c>
      <c r="H34" s="155">
        <v>21.662057657129893</v>
      </c>
      <c r="I34" s="72"/>
      <c r="J34" s="135">
        <f>+'17.Treasury'!J15/J31*100</f>
        <v>42.28716740524672</v>
      </c>
      <c r="K34" s="135">
        <f>+'17.Treasury'!K15/K31*100</f>
        <v>41.370123025581385</v>
      </c>
      <c r="L34" s="135">
        <f>+'17.Treasury'!L15/L31*100</f>
        <v>39.68449233705145</v>
      </c>
      <c r="M34" s="155">
        <f>+'17.Treasury'!M15/M31*100</f>
        <v>38.750064280826116</v>
      </c>
      <c r="N34" s="155">
        <f>+'17.Treasury'!N15/N31*100</f>
        <v>38.41836575389515</v>
      </c>
      <c r="O34" s="155">
        <f>+'17.Treasury'!O15/O31*100</f>
        <v>36.86046682974271</v>
      </c>
      <c r="P34" s="155">
        <f>+'17.Treasury'!P15/P31*100</f>
        <v>36.27045449580169</v>
      </c>
      <c r="Q34" s="155">
        <f>+'17.Treasury'!Q15/Q31*100</f>
        <v>35.40056219255095</v>
      </c>
      <c r="R34" s="155">
        <f>+'17.Treasury'!R15/R31*100</f>
        <v>33.54538671109029</v>
      </c>
      <c r="S34" s="155">
        <f>+'17.Treasury'!S15/S31*100</f>
        <v>33.57675013948603</v>
      </c>
      <c r="T34" s="155">
        <f>+'17.Treasury'!T15/T31*100</f>
        <v>32.94552164366656</v>
      </c>
      <c r="U34" s="155">
        <f>+'17.Treasury'!U15/U31*100</f>
        <v>30.918478180005653</v>
      </c>
      <c r="V34" s="155">
        <f>+'17.Treasury'!V15/V31*100</f>
        <v>23.26058728652199</v>
      </c>
      <c r="W34" s="155">
        <f>+'17.Treasury'!W15/W31*100</f>
        <v>22.680619611852347</v>
      </c>
      <c r="X34" s="155">
        <f>+'17.Treasury'!X15/X31*100</f>
        <v>23.23102866779089</v>
      </c>
      <c r="Y34" s="155">
        <f>+'17.Treasury'!Y15/Y31*100</f>
        <v>21.662057657129893</v>
      </c>
      <c r="Z34" s="413">
        <f>+'17.Treasury'!Z15/Z31*100</f>
        <v>21.186461378125536</v>
      </c>
      <c r="AA34" s="413">
        <f>+'17.Treasury'!AB15/AA31*100</f>
        <v>21.375491400026732</v>
      </c>
      <c r="AB34" s="565">
        <f>+'17.Treasury'!AB15/AB31*100</f>
        <v>21.375491400026732</v>
      </c>
      <c r="AC34" s="80"/>
      <c r="AD34" s="80"/>
      <c r="AE34" s="80"/>
      <c r="AF34" s="256">
        <v>23.23102866779089</v>
      </c>
      <c r="AG34" s="565">
        <f>+'17.Treasury'!AG15/AG31*100</f>
        <v>21.375491400026732</v>
      </c>
      <c r="AH34" s="256">
        <f>('17.Treasury'!AI15/'14.Mix'!AH31)*100</f>
        <v>22.680619611852347</v>
      </c>
      <c r="AI34" s="367">
        <f>('17.Treasury'!AJ15/'14.Mix'!AI31)*100</f>
        <v>20.511631805300183</v>
      </c>
    </row>
    <row r="35" spans="2:35" s="67" customFormat="1" ht="14.25">
      <c r="B35" s="67" t="s">
        <v>35</v>
      </c>
      <c r="D35" s="135">
        <f>+'18.Others'!D15/D31*100</f>
        <v>3.0971868960224374</v>
      </c>
      <c r="E35" s="135">
        <f>+'18.Others'!E15/E31*100</f>
        <v>3.5977483910014754</v>
      </c>
      <c r="F35" s="155">
        <f>+'18.Others'!F15/F31*100</f>
        <v>3.683293415749996</v>
      </c>
      <c r="G35" s="155">
        <v>2.9900757339046855</v>
      </c>
      <c r="H35" s="155">
        <v>9.330588029210496</v>
      </c>
      <c r="I35" s="136"/>
      <c r="J35" s="135">
        <f>+'18.Others'!J15/J31*100</f>
        <v>3.8810044688767977</v>
      </c>
      <c r="K35" s="135">
        <f>+'18.Others'!K15/K31*100</f>
        <v>3.807064149886621</v>
      </c>
      <c r="L35" s="135">
        <f>+'18.Others'!L15/L31*100</f>
        <v>4.2638088816865976</v>
      </c>
      <c r="M35" s="155">
        <f>+'18.Others'!M15/M31*100</f>
        <v>3.5977483910014754</v>
      </c>
      <c r="N35" s="155">
        <f>+'18.Others'!N15/N31*100</f>
        <v>3.9907734099353673</v>
      </c>
      <c r="O35" s="155">
        <f>+'18.Others'!O15/O31*100</f>
        <v>3.0024166691226313</v>
      </c>
      <c r="P35" s="155">
        <f>+'18.Others'!P15/P31*100</f>
        <v>3.614628924313814</v>
      </c>
      <c r="Q35" s="155">
        <f>+'18.Others'!Q15/Q31*100</f>
        <v>3.683293415749996</v>
      </c>
      <c r="R35" s="155">
        <f>+'18.Others'!R15/R31*100</f>
        <v>4.8373158415326145</v>
      </c>
      <c r="S35" s="155">
        <f>+'18.Others'!S15/S31*100</f>
        <v>4.824247595917162</v>
      </c>
      <c r="T35" s="155">
        <f>+'18.Others'!T15/T31*100</f>
        <v>3.3818697036595484</v>
      </c>
      <c r="U35" s="155">
        <f>+'18.Others'!U15/U31*100</f>
        <v>2.9900757339046855</v>
      </c>
      <c r="V35" s="155">
        <f>+'18.Others'!V15/V31*100</f>
        <v>11.398983341000006</v>
      </c>
      <c r="W35" s="155">
        <f>+'18.Others'!W15/W31*100</f>
        <v>10.350987025369166</v>
      </c>
      <c r="X35" s="155">
        <f>+'18.Others'!X15/X31*100</f>
        <v>11.767566048341765</v>
      </c>
      <c r="Y35" s="155">
        <f>+'18.Others'!Y15/Y31*100</f>
        <v>9.831405015636173</v>
      </c>
      <c r="Z35" s="413">
        <f>+'18.Others'!Z15/Z31*100</f>
        <v>9.774274881465136</v>
      </c>
      <c r="AA35" s="413">
        <f>+'18.Others'!AB15/AA31*100</f>
        <v>9.583151566806448</v>
      </c>
      <c r="AB35" s="565">
        <f>+'18.Others'!AB15/AB31*100</f>
        <v>9.583151566806448</v>
      </c>
      <c r="AC35" s="80"/>
      <c r="AD35" s="80"/>
      <c r="AE35" s="80"/>
      <c r="AF35" s="256">
        <v>11.161045531197301</v>
      </c>
      <c r="AG35" s="565">
        <f>+'18.Others'!AG15/AG31*100</f>
        <v>9.583151566806448</v>
      </c>
      <c r="AH35" s="256">
        <f>('18.Others'!AI15/'14.Mix'!AH31)*100</f>
        <v>10.350987025369166</v>
      </c>
      <c r="AI35" s="367">
        <f>('18.Others'!AJ15/'14.Mix'!AI31)*100</f>
        <v>9.656153253814844</v>
      </c>
    </row>
    <row r="36" spans="1:35" s="67" customFormat="1" ht="14.25">
      <c r="A36" s="58" t="s">
        <v>81</v>
      </c>
      <c r="D36" s="129">
        <f>+'19.S''pore'!D16+'20.HK'!D16+'21.GreaterChina'!D16+'22.SSEA'!D16+'23.ROW'!D16</f>
        <v>250871</v>
      </c>
      <c r="E36" s="129">
        <f>+'19.S''pore'!E16+'20.HK'!E16+'21.GreaterChina'!E16+'22.SSEA'!E16+'23.ROW'!E16</f>
        <v>252797</v>
      </c>
      <c r="F36" s="156">
        <f>+'19.S''pore'!F16+'20.HK'!F16+'21.GreaterChina'!F16+'22.SSEA'!F16+'23.ROW'!F16</f>
        <v>278908</v>
      </c>
      <c r="G36" s="156">
        <v>336045</v>
      </c>
      <c r="H36" s="156"/>
      <c r="I36" s="129"/>
      <c r="J36" s="129">
        <f>+'19.S''pore'!J16+'20.HK'!J16+'21.GreaterChina'!J16+'22.SSEA'!J16+'23.ROW'!J16</f>
        <v>267405</v>
      </c>
      <c r="K36" s="129">
        <f>+'19.S''pore'!K16+'20.HK'!K16+'21.GreaterChina'!K16+'22.SSEA'!K16+'23.ROW'!K16</f>
        <v>257101</v>
      </c>
      <c r="L36" s="129">
        <f>+'19.S''pore'!L16+'20.HK'!L16+'21.GreaterChina'!L16+'22.SSEA'!L16+'23.ROW'!L16</f>
        <v>253623</v>
      </c>
      <c r="M36" s="156">
        <f>+'19.S''pore'!M16+'20.HK'!M16+'21.GreaterChina'!M16+'22.SSEA'!M16+'23.ROW'!M16</f>
        <v>252797</v>
      </c>
      <c r="N36" s="156">
        <f>+'19.S''pore'!N16+'20.HK'!N16+'21.GreaterChina'!N16+'22.SSEA'!N16+'23.ROW'!N16</f>
        <v>256216</v>
      </c>
      <c r="O36" s="156">
        <f>+'19.S''pore'!O16+'20.HK'!O16+'21.GreaterChina'!O16+'22.SSEA'!O16+'23.ROW'!O16</f>
        <v>271448</v>
      </c>
      <c r="P36" s="156">
        <f>+'19.S''pore'!P16+'20.HK'!P16+'21.GreaterChina'!P16+'22.SSEA'!P16+'23.ROW'!P16</f>
        <v>274634</v>
      </c>
      <c r="Q36" s="156">
        <f>+'19.S''pore'!Q16+'20.HK'!Q16+'21.GreaterChina'!Q16+'22.SSEA'!Q16+'23.ROW'!Q16</f>
        <v>278908</v>
      </c>
      <c r="R36" s="156">
        <f>+'19.S''pore'!R16+'20.HK'!R16+'21.GreaterChina'!R16+'22.SSEA'!R16+'23.ROW'!R16</f>
        <v>288135</v>
      </c>
      <c r="S36" s="156">
        <f>+'19.S''pore'!S16+'20.HK'!S16+'21.GreaterChina'!S16+'22.SSEA'!S16+'23.ROW'!S16</f>
        <v>304690</v>
      </c>
      <c r="T36" s="156">
        <f>+'19.S''pore'!T16+'20.HK'!T16+'21.GreaterChina'!T16+'22.SSEA'!T16+'23.ROW'!T16</f>
        <v>333839</v>
      </c>
      <c r="U36" s="156">
        <f>+'19.S''pore'!U16+'20.HK'!U16+'21.GreaterChina'!U16+'22.SSEA'!U16+'23.ROW'!U16</f>
        <v>336045</v>
      </c>
      <c r="V36" s="156">
        <f>+'19.S''pore'!V16+'20.HK'!V16+'21.GreaterChina'!V16+'22.SSEA'!V16+'23.ROW'!V16</f>
        <v>343478</v>
      </c>
      <c r="W36" s="156">
        <f>+'19.S''pore'!W16+'20.HK'!W16+'21.GreaterChina'!W16+'22.SSEA'!W16+'23.ROW'!W16</f>
        <v>348218</v>
      </c>
      <c r="X36" s="156">
        <f>+'19.S''pore'!X16+'20.HK'!X16+'21.GreaterChina'!X16+'22.SSEA'!X16+'23.ROW'!X16</f>
        <v>355800</v>
      </c>
      <c r="Y36" s="156">
        <f>+'19.S''pore'!Y16+'20.HK'!Y16+'21.GreaterChina'!Y16+'22.SSEA'!Y16+'23.ROW'!Y16</f>
        <v>348231</v>
      </c>
      <c r="Z36" s="451">
        <f>+'19.S''pore'!Z16+'20.HK'!Z16+'21.GreaterChina'!Z16+'22.SSEA'!Z16+'23.ROW'!Z16</f>
        <v>368457</v>
      </c>
      <c r="AA36" s="451">
        <f>+'19.S''pore'!AA16+'20.HK'!AA16+'21.GreaterChina'!AA16+'22.SSEA'!AA16+'23.ROW'!AA16</f>
        <v>381798</v>
      </c>
      <c r="AB36" s="559">
        <f>+'19.S''pore'!AB16+'20.HK'!AB16+'21.GreaterChina'!AB16+'22.SSEA'!AB16+'23.ROW'!AB16</f>
        <v>396571</v>
      </c>
      <c r="AC36" s="376"/>
      <c r="AD36" s="376"/>
      <c r="AE36" s="376"/>
      <c r="AF36" s="375">
        <v>355800</v>
      </c>
      <c r="AG36" s="566">
        <f>'19.S''pore'!AG16+'20.HK'!AG16+'21.GreaterChina'!AG16+'22.SSEA'!AG16+'23.ROW'!AG16</f>
        <v>396571</v>
      </c>
      <c r="AH36" s="156">
        <f>'19.S''pore'!AI16+'20.HK'!AI16+'21.GreaterChina'!AI16+'22.SSEA'!AI16+'23.ROW'!AI16</f>
        <v>348218</v>
      </c>
      <c r="AI36" s="381">
        <f>'19.S''pore'!AJ16+'20.HK'!AJ16+'21.GreaterChina'!AJ16+'22.SSEA'!AJ16+'23.ROW'!AJ16</f>
        <v>381798</v>
      </c>
    </row>
    <row r="37" spans="2:35" s="67" customFormat="1" ht="14.25">
      <c r="B37" s="67" t="s">
        <v>48</v>
      </c>
      <c r="D37" s="72">
        <f>+'19.S''pore'!D16/D36*100</f>
        <v>67.81652721916842</v>
      </c>
      <c r="E37" s="72">
        <f>+'19.S''pore'!E16/E36*100</f>
        <v>65.52767635691879</v>
      </c>
      <c r="F37" s="155">
        <f>+'19.S''pore'!F16/F36*100</f>
        <v>64.47036298707818</v>
      </c>
      <c r="G37" s="155">
        <v>61.708997306908294</v>
      </c>
      <c r="H37" s="155">
        <v>64.80698157257683</v>
      </c>
      <c r="I37" s="72"/>
      <c r="J37" s="135">
        <f>+'19.S''pore'!J16/J36*100</f>
        <v>67.67936276434622</v>
      </c>
      <c r="K37" s="135">
        <f>+'19.S''pore'!K16/K36*100</f>
        <v>65.95462483615388</v>
      </c>
      <c r="L37" s="135">
        <f>+'19.S''pore'!L16/L36*100</f>
        <v>65.34935711666529</v>
      </c>
      <c r="M37" s="155">
        <f>+'19.S''pore'!M16/M36*100</f>
        <v>65.52767635691879</v>
      </c>
      <c r="N37" s="155">
        <f>+'19.S''pore'!N16/N36*100</f>
        <v>63.76650950760296</v>
      </c>
      <c r="O37" s="155">
        <f>+'19.S''pore'!O16/O36*100</f>
        <v>63.5816067902508</v>
      </c>
      <c r="P37" s="155">
        <f>+'19.S''pore'!P16/P36*100</f>
        <v>64.31213906508299</v>
      </c>
      <c r="Q37" s="155">
        <f>+'19.S''pore'!Q16/Q36*100</f>
        <v>64.47036298707818</v>
      </c>
      <c r="R37" s="155">
        <f>+'19.S''pore'!R16/R36*100</f>
        <v>63.867284432644425</v>
      </c>
      <c r="S37" s="155">
        <f>+'19.S''pore'!S16/S36*100</f>
        <v>64.39364600085332</v>
      </c>
      <c r="T37" s="155">
        <f>+'19.S''pore'!T16/T36*100</f>
        <v>61.871141478377304</v>
      </c>
      <c r="U37" s="155">
        <f>+'19.S''pore'!U16/U36*100</f>
        <v>63.08738413010162</v>
      </c>
      <c r="V37" s="155">
        <f>+'19.S''pore'!V16/V36*100</f>
        <v>64.59540349017988</v>
      </c>
      <c r="W37" s="155">
        <f>+'19.S''pore'!W16/W36*100</f>
        <v>64.48000964912785</v>
      </c>
      <c r="X37" s="155">
        <f>+'19.S''pore'!X16/X36*100</f>
        <v>66.45952782462057</v>
      </c>
      <c r="Y37" s="155">
        <f>+'19.S''pore'!Y16/Y36*100</f>
        <v>64.80698157257683</v>
      </c>
      <c r="Z37" s="413">
        <f>+'19.S''pore'!Z16/Z36*100</f>
        <v>64.9679609832355</v>
      </c>
      <c r="AA37" s="413">
        <f>+'19.S''pore'!AA16/AA36*100</f>
        <v>64.45607363055856</v>
      </c>
      <c r="AB37" s="565">
        <f>+'19.S''pore'!AB16/AB36*100</f>
        <v>64.22103482100306</v>
      </c>
      <c r="AC37" s="80"/>
      <c r="AD37" s="80"/>
      <c r="AE37" s="80"/>
      <c r="AF37" s="256">
        <v>66.45952782462057</v>
      </c>
      <c r="AG37" s="367">
        <f>'19.S''pore'!AG16/AG36*100</f>
        <v>64.22103482100306</v>
      </c>
      <c r="AH37" s="256">
        <f>('19.S''pore'!AI16/'14.Mix'!AH36)*100</f>
        <v>64.48000964912785</v>
      </c>
      <c r="AI37" s="367">
        <f>('19.S''pore'!AJ16/'14.Mix'!AI36)*100</f>
        <v>64.45607363055856</v>
      </c>
    </row>
    <row r="38" spans="2:35" s="67" customFormat="1" ht="14.25">
      <c r="B38" s="67" t="s">
        <v>49</v>
      </c>
      <c r="D38" s="72">
        <f>+'20.HK'!D16/D36*100</f>
        <v>17.58632922896628</v>
      </c>
      <c r="E38" s="72">
        <f>+'20.HK'!E16/E36*100</f>
        <v>18.850302812137805</v>
      </c>
      <c r="F38" s="155">
        <f>+'20.HK'!F16/F36*100</f>
        <v>18.819467351241272</v>
      </c>
      <c r="G38" s="155">
        <v>20.384472317695547</v>
      </c>
      <c r="H38" s="155">
        <v>16.246973991402257</v>
      </c>
      <c r="I38" s="72"/>
      <c r="J38" s="135">
        <f>+'20.HK'!J16/J36*100</f>
        <v>17.267066808773208</v>
      </c>
      <c r="K38" s="135">
        <f>+'20.HK'!K16/K36*100</f>
        <v>18.185071236595736</v>
      </c>
      <c r="L38" s="135">
        <f>+'20.HK'!L16/L36*100</f>
        <v>18.66628815209977</v>
      </c>
      <c r="M38" s="155">
        <f>+'20.HK'!M16/M36*100</f>
        <v>18.850302812137805</v>
      </c>
      <c r="N38" s="155">
        <f>+'20.HK'!N16/N36*100</f>
        <v>19.404721016642206</v>
      </c>
      <c r="O38" s="155">
        <f>+'20.HK'!O16/O36*100</f>
        <v>20.04803866670596</v>
      </c>
      <c r="P38" s="155">
        <f>+'20.HK'!P16/P36*100</f>
        <v>19.35266572966202</v>
      </c>
      <c r="Q38" s="155">
        <f>+'20.HK'!Q16/Q36*100</f>
        <v>18.819467351241272</v>
      </c>
      <c r="R38" s="155">
        <f>+'20.HK'!R16/R36*100</f>
        <v>18.720391483158934</v>
      </c>
      <c r="S38" s="155">
        <f>+'20.HK'!S16/S36*100</f>
        <v>18.089861826774754</v>
      </c>
      <c r="T38" s="155">
        <f>+'20.HK'!T16/T36*100</f>
        <v>20.11418677865678</v>
      </c>
      <c r="U38" s="155">
        <f>+'20.HK'!U16/U36*100</f>
        <v>19.006085494502226</v>
      </c>
      <c r="V38" s="155">
        <f>+'20.HK'!V16/V36*100</f>
        <v>17.54115256290068</v>
      </c>
      <c r="W38" s="155">
        <f>+'20.HK'!W16/W36*100</f>
        <v>17.280554135627682</v>
      </c>
      <c r="X38" s="155">
        <f>+'20.HK'!X16/X36*100</f>
        <v>15.991849353569421</v>
      </c>
      <c r="Y38" s="155">
        <f>+'20.HK'!Y16/Y36*100</f>
        <v>16.246973991402257</v>
      </c>
      <c r="Z38" s="413">
        <f>+'20.HK'!Z16/Z36*100</f>
        <v>16.24694333395756</v>
      </c>
      <c r="AA38" s="413">
        <f>+'20.HK'!AA16/AA36*100</f>
        <v>16.654618410782664</v>
      </c>
      <c r="AB38" s="565">
        <f>+'20.HK'!AB16/AB36*100</f>
        <v>17.649298612354407</v>
      </c>
      <c r="AC38" s="80"/>
      <c r="AD38" s="80"/>
      <c r="AE38" s="80"/>
      <c r="AF38" s="256">
        <v>15.991849353569421</v>
      </c>
      <c r="AG38" s="367">
        <f>'20.HK'!AG16/AG36*100</f>
        <v>17.649298612354407</v>
      </c>
      <c r="AH38" s="256">
        <f>('20.HK'!AI16/'14.Mix'!AH36)*100</f>
        <v>17.280554135627682</v>
      </c>
      <c r="AI38" s="367">
        <f>('20.HK'!AJ16/'14.Mix'!AI36)*100</f>
        <v>16.654618410782664</v>
      </c>
    </row>
    <row r="39" spans="2:35" s="67" customFormat="1" ht="14.25">
      <c r="B39" s="67" t="s">
        <v>73</v>
      </c>
      <c r="D39" s="72">
        <f>+'21.GreaterChina'!D16/D36*100</f>
        <v>6.602197942368787</v>
      </c>
      <c r="E39" s="72">
        <f>+'21.GreaterChina'!E16/E36*100</f>
        <v>5.681238305834325</v>
      </c>
      <c r="F39" s="155">
        <f>+'21.GreaterChina'!F16/F36*100</f>
        <v>7.541196380168371</v>
      </c>
      <c r="G39" s="155">
        <v>9.308574744453868</v>
      </c>
      <c r="H39" s="155">
        <v>10.14183114082319</v>
      </c>
      <c r="I39" s="72"/>
      <c r="J39" s="135">
        <f>+'21.GreaterChina'!J16/J36*100</f>
        <v>5.399300686225014</v>
      </c>
      <c r="K39" s="135">
        <f>+'21.GreaterChina'!K16/K36*100</f>
        <v>5.358983434525731</v>
      </c>
      <c r="L39" s="135">
        <f>+'21.GreaterChina'!L16/L36*100</f>
        <v>5.923358685923595</v>
      </c>
      <c r="M39" s="155">
        <f>+'21.GreaterChina'!M16/M36*100</f>
        <v>5.681238305834325</v>
      </c>
      <c r="N39" s="155">
        <f>+'21.GreaterChina'!N16/N36*100</f>
        <v>6.137009398320167</v>
      </c>
      <c r="O39" s="155">
        <f>+'21.GreaterChina'!O16/O36*100</f>
        <v>6.253131354808287</v>
      </c>
      <c r="P39" s="155">
        <f>+'21.GreaterChina'!P16/P36*100</f>
        <v>6.867685719903581</v>
      </c>
      <c r="Q39" s="155">
        <f>+'21.GreaterChina'!Q16/Q36*100</f>
        <v>7.541196380168371</v>
      </c>
      <c r="R39" s="155">
        <f>+'21.GreaterChina'!R16/R36*100</f>
        <v>8.016034150658545</v>
      </c>
      <c r="S39" s="155">
        <f>+'21.GreaterChina'!S16/S36*100</f>
        <v>8.443664051987266</v>
      </c>
      <c r="T39" s="155">
        <f>+'21.GreaterChina'!T16/T36*100</f>
        <v>9.304185550519861</v>
      </c>
      <c r="U39" s="155">
        <f>+'21.GreaterChina'!U16/U36*100</f>
        <v>9.308574744453868</v>
      </c>
      <c r="V39" s="155">
        <f>+'21.GreaterChina'!V16/V36*100</f>
        <v>8.845107983626317</v>
      </c>
      <c r="W39" s="155">
        <f>+'21.GreaterChina'!W16/W36*100</f>
        <v>9.646543257384742</v>
      </c>
      <c r="X39" s="155">
        <f>+'21.GreaterChina'!X16/X36*100</f>
        <v>9.15317594154019</v>
      </c>
      <c r="Y39" s="155">
        <f>+'21.GreaterChina'!Y16/Y36*100</f>
        <v>10.14183114082319</v>
      </c>
      <c r="Z39" s="413">
        <f>+'21.GreaterChina'!Z16/Z36*100</f>
        <v>10.492404812501865</v>
      </c>
      <c r="AA39" s="413">
        <f>+'21.GreaterChina'!AA16/AA36*100</f>
        <v>10.867002970156994</v>
      </c>
      <c r="AB39" s="565">
        <f>+'21.GreaterChina'!AB16/AB36*100</f>
        <v>10.54565260697328</v>
      </c>
      <c r="AC39" s="80"/>
      <c r="AD39" s="80"/>
      <c r="AE39" s="80"/>
      <c r="AF39" s="256">
        <v>9.15317594154019</v>
      </c>
      <c r="AG39" s="367">
        <f>'21.GreaterChina'!AG16/AG36*100</f>
        <v>10.54565260697328</v>
      </c>
      <c r="AH39" s="256">
        <f>('21.GreaterChina'!AI16/'14.Mix'!AH36)*100</f>
        <v>9.646543257384742</v>
      </c>
      <c r="AI39" s="367">
        <f>('21.GreaterChina'!AJ16/'14.Mix'!AI36)*100</f>
        <v>10.867002970156994</v>
      </c>
    </row>
    <row r="40" spans="2:35" s="67" customFormat="1" ht="14.25">
      <c r="B40" s="67" t="s">
        <v>93</v>
      </c>
      <c r="D40" s="72">
        <f>+'22.SSEA'!D16/D36*100</f>
        <v>3.941866536985144</v>
      </c>
      <c r="E40" s="72">
        <f>+'22.SSEA'!E16/E36*100</f>
        <v>5.040803490547752</v>
      </c>
      <c r="F40" s="155">
        <f>+'22.SSEA'!F16/F36*100</f>
        <v>4.915599409124156</v>
      </c>
      <c r="G40" s="155">
        <v>4.827924831495782</v>
      </c>
      <c r="H40" s="155">
        <v>4.841613756385847</v>
      </c>
      <c r="I40" s="72"/>
      <c r="J40" s="135">
        <f>+'22.SSEA'!J16/J36*100</f>
        <v>4.823395224472242</v>
      </c>
      <c r="K40" s="135">
        <f>+'22.SSEA'!K16/K36*100</f>
        <v>5.150894006635524</v>
      </c>
      <c r="L40" s="135">
        <f>+'22.SSEA'!L16/L36*100</f>
        <v>4.997969427063003</v>
      </c>
      <c r="M40" s="155">
        <f>+'22.SSEA'!M16/M36*100</f>
        <v>5.040803490547752</v>
      </c>
      <c r="N40" s="155">
        <f>+'22.SSEA'!N16/N36*100</f>
        <v>5.586302182533488</v>
      </c>
      <c r="O40" s="155">
        <f>+'22.SSEA'!O16/O36*100</f>
        <v>5.284253337655831</v>
      </c>
      <c r="P40" s="155">
        <f>+'22.SSEA'!P16/P36*100</f>
        <v>5.139567569929433</v>
      </c>
      <c r="Q40" s="155">
        <f>+'22.SSEA'!Q16/Q36*100</f>
        <v>4.915599409124156</v>
      </c>
      <c r="R40" s="155">
        <f>+'22.SSEA'!R16/R36*100</f>
        <v>4.9782220139865</v>
      </c>
      <c r="S40" s="155">
        <f>+'22.SSEA'!S16/S36*100</f>
        <v>4.972923299090879</v>
      </c>
      <c r="T40" s="155">
        <f>+'22.SSEA'!T16/T36*100</f>
        <v>4.915842666674655</v>
      </c>
      <c r="U40" s="155">
        <f>+'22.SSEA'!U16/U36*100</f>
        <v>4.827924831495782</v>
      </c>
      <c r="V40" s="155">
        <f>+'22.SSEA'!V16/V36*100</f>
        <v>5.011674692411159</v>
      </c>
      <c r="W40" s="155">
        <f>+'22.SSEA'!W16/W36*100</f>
        <v>5.005485069697718</v>
      </c>
      <c r="X40" s="155">
        <f>+'22.SSEA'!X16/X36*100</f>
        <v>4.869870713884204</v>
      </c>
      <c r="Y40" s="155">
        <f>+'22.SSEA'!Y16/Y36*100</f>
        <v>4.841613756385847</v>
      </c>
      <c r="Z40" s="413">
        <f>+'22.SSEA'!Z16/Z36*100</f>
        <v>4.755778829008541</v>
      </c>
      <c r="AA40" s="413">
        <f>+'22.SSEA'!AA16/AA36*100</f>
        <v>4.604267177931786</v>
      </c>
      <c r="AB40" s="565">
        <f>+'22.SSEA'!AB16/AB36*100</f>
        <v>4.29834758466958</v>
      </c>
      <c r="AC40" s="80"/>
      <c r="AD40" s="80"/>
      <c r="AE40" s="80"/>
      <c r="AF40" s="256">
        <v>4.869870713884204</v>
      </c>
      <c r="AG40" s="367">
        <f>'22.SSEA'!AG16/AG36*100</f>
        <v>4.29834758466958</v>
      </c>
      <c r="AH40" s="256">
        <f>('22.SSEA'!AI16/'14.Mix'!AH36)*100</f>
        <v>5.005485069697718</v>
      </c>
      <c r="AI40" s="367">
        <f>('22.SSEA'!AJ16/'14.Mix'!AI36)*100</f>
        <v>4.604267177931786</v>
      </c>
    </row>
    <row r="41" spans="2:35" s="67" customFormat="1" ht="14.25">
      <c r="B41" s="67" t="s">
        <v>75</v>
      </c>
      <c r="D41" s="72">
        <f>+'23.ROW'!D16/D36*100</f>
        <v>4.053079072511371</v>
      </c>
      <c r="E41" s="72">
        <f>+'23.ROW'!E16/E36*100</f>
        <v>4.899979034561327</v>
      </c>
      <c r="F41" s="155">
        <f>+'23.ROW'!F16/F36*100</f>
        <v>4.253373872388027</v>
      </c>
      <c r="G41" s="155">
        <v>3.7700307994465025</v>
      </c>
      <c r="H41" s="155">
        <v>3.9625995388118804</v>
      </c>
      <c r="I41" s="72"/>
      <c r="J41" s="135">
        <f>+'23.ROW'!J16/J36*100</f>
        <v>4.830874516183317</v>
      </c>
      <c r="K41" s="135">
        <f>+'23.ROW'!K16/K36*100</f>
        <v>5.350426486089124</v>
      </c>
      <c r="L41" s="135">
        <f>+'23.ROW'!L16/L36*100</f>
        <v>5.063026618248346</v>
      </c>
      <c r="M41" s="155">
        <f>+'23.ROW'!M16/M36*100</f>
        <v>4.899979034561327</v>
      </c>
      <c r="N41" s="155">
        <f>+'23.ROW'!N16/N36*100</f>
        <v>5.105457894901177</v>
      </c>
      <c r="O41" s="155">
        <f>+'23.ROW'!O16/O36*100</f>
        <v>4.832969850579117</v>
      </c>
      <c r="P41" s="155">
        <f>+'23.ROW'!P16/P36*100</f>
        <v>4.32794191542198</v>
      </c>
      <c r="Q41" s="155">
        <f>+'23.ROW'!Q16/Q36*100</f>
        <v>4.253373872388027</v>
      </c>
      <c r="R41" s="155">
        <f>+'23.ROW'!R16/R36*100</f>
        <v>4.418067919551599</v>
      </c>
      <c r="S41" s="155">
        <f>+'23.ROW'!S16/S36*100</f>
        <v>4.099904821293774</v>
      </c>
      <c r="T41" s="155">
        <f>+'23.ROW'!T16/T36*100</f>
        <v>3.7946435257714044</v>
      </c>
      <c r="U41" s="155">
        <f>+'23.ROW'!U16/U36*100</f>
        <v>3.7700307994465025</v>
      </c>
      <c r="V41" s="155">
        <f>+'23.ROW'!V16/V36*100</f>
        <v>4.006661270881978</v>
      </c>
      <c r="W41" s="155">
        <f>+'23.ROW'!W16/W36*100</f>
        <v>3.5874078881620135</v>
      </c>
      <c r="X41" s="155">
        <f>+'23.ROW'!X16/X36*100</f>
        <v>3.5255761663856098</v>
      </c>
      <c r="Y41" s="155">
        <f>+'23.ROW'!Y16/Y36*100</f>
        <v>3.9625995388118804</v>
      </c>
      <c r="Z41" s="413">
        <f>+'23.ROW'!Z16/Z36*100</f>
        <v>3.5369120412965422</v>
      </c>
      <c r="AA41" s="413">
        <f>+'23.ROW'!AA16/AA36*100</f>
        <v>3.418037810569987</v>
      </c>
      <c r="AB41" s="565">
        <f>+'23.ROW'!AB16/AB36*100</f>
        <v>3.285666374999685</v>
      </c>
      <c r="AC41" s="80"/>
      <c r="AD41" s="80"/>
      <c r="AE41" s="80"/>
      <c r="AF41" s="256">
        <v>3.5255761663856098</v>
      </c>
      <c r="AG41" s="367">
        <f>'23.ROW'!AG16/AG36*100</f>
        <v>3.285666374999685</v>
      </c>
      <c r="AH41" s="256">
        <f>('23.ROW'!AI16/'14.Mix'!AH36)*100</f>
        <v>3.5874078881620135</v>
      </c>
      <c r="AI41" s="367">
        <f>('23.ROW'!AJ16/'14.Mix'!AI36)*100</f>
        <v>3.418037810569987</v>
      </c>
    </row>
    <row r="42" spans="4:35" s="67" customFormat="1" ht="14.25">
      <c r="D42" s="103"/>
      <c r="E42" s="103"/>
      <c r="F42" s="114"/>
      <c r="G42" s="114"/>
      <c r="H42" s="114"/>
      <c r="I42" s="103"/>
      <c r="J42" s="103"/>
      <c r="K42" s="103"/>
      <c r="L42" s="103"/>
      <c r="M42" s="114"/>
      <c r="N42" s="114"/>
      <c r="O42" s="114"/>
      <c r="P42" s="114"/>
      <c r="Q42" s="114"/>
      <c r="R42" s="114"/>
      <c r="S42" s="114"/>
      <c r="T42" s="114"/>
      <c r="U42" s="114"/>
      <c r="V42" s="114"/>
      <c r="W42" s="114"/>
      <c r="X42" s="114"/>
      <c r="Y42" s="114"/>
      <c r="Z42" s="399"/>
      <c r="AA42" s="421"/>
      <c r="AB42" s="491"/>
      <c r="AC42" s="80"/>
      <c r="AD42" s="80"/>
      <c r="AE42" s="80"/>
      <c r="AF42" s="369"/>
      <c r="AG42" s="557"/>
      <c r="AH42" s="475"/>
      <c r="AI42" s="372"/>
    </row>
    <row r="43" spans="26:35" ht="12.75">
      <c r="Z43" s="445"/>
      <c r="AA43" s="443"/>
      <c r="AB43" s="515"/>
      <c r="AC43" s="238"/>
      <c r="AD43" s="238"/>
      <c r="AE43" s="238"/>
      <c r="AF43" s="374"/>
      <c r="AG43" s="558"/>
      <c r="AI43" s="138"/>
    </row>
    <row r="44" spans="26:35" ht="12.75">
      <c r="Z44" s="445"/>
      <c r="AA44" s="443"/>
      <c r="AB44" s="515"/>
      <c r="AC44" s="238"/>
      <c r="AD44" s="238"/>
      <c r="AE44" s="238"/>
      <c r="AF44" s="374"/>
      <c r="AG44" s="558"/>
      <c r="AI44" s="138"/>
    </row>
    <row r="45" spans="26:35" ht="12.75">
      <c r="Z45" s="445"/>
      <c r="AA45" s="443"/>
      <c r="AB45" s="273"/>
      <c r="AC45" s="238"/>
      <c r="AD45" s="238"/>
      <c r="AE45" s="238"/>
      <c r="AF45" s="374"/>
      <c r="AG45" s="558"/>
      <c r="AI45" s="138"/>
    </row>
    <row r="46" spans="26:35" ht="12.75">
      <c r="Z46" s="445"/>
      <c r="AA46" s="443"/>
      <c r="AB46" s="273"/>
      <c r="AC46" s="238"/>
      <c r="AD46" s="238"/>
      <c r="AE46" s="238"/>
      <c r="AF46" s="374"/>
      <c r="AG46" s="558"/>
      <c r="AI46" s="138"/>
    </row>
    <row r="47" spans="26:35" ht="12.75">
      <c r="Z47" s="446"/>
      <c r="AA47" s="443"/>
      <c r="AB47" s="273"/>
      <c r="AG47" s="558"/>
      <c r="AI47" s="138"/>
    </row>
    <row r="48" spans="26:35" ht="12.75">
      <c r="Z48" s="446"/>
      <c r="AA48" s="446"/>
      <c r="AB48" s="356"/>
      <c r="AG48" s="558"/>
      <c r="AI48" s="138"/>
    </row>
    <row r="49" spans="26:35" ht="12.75">
      <c r="Z49" s="446"/>
      <c r="AA49" s="446"/>
      <c r="AB49" s="356"/>
      <c r="AG49" s="558"/>
      <c r="AI49" s="138"/>
    </row>
    <row r="50" spans="26:35" ht="12.75">
      <c r="Z50" s="446"/>
      <c r="AA50" s="446"/>
      <c r="AB50" s="356"/>
      <c r="AG50" s="558"/>
      <c r="AI50" s="138"/>
    </row>
    <row r="51" spans="26:35" ht="12.75">
      <c r="Z51" s="446"/>
      <c r="AA51" s="446"/>
      <c r="AB51" s="356"/>
      <c r="AG51" s="558"/>
      <c r="AI51" s="138"/>
    </row>
    <row r="52" spans="26:35" ht="12.75">
      <c r="Z52" s="446"/>
      <c r="AA52" s="446"/>
      <c r="AB52" s="356"/>
      <c r="AG52" s="558"/>
      <c r="AI52" s="138"/>
    </row>
    <row r="53" spans="26:35" ht="12.75">
      <c r="Z53" s="446"/>
      <c r="AA53" s="446"/>
      <c r="AB53" s="356"/>
      <c r="AG53" s="558"/>
      <c r="AI53" s="138"/>
    </row>
    <row r="54" spans="26:35" ht="12.75">
      <c r="Z54" s="446"/>
      <c r="AA54" s="446"/>
      <c r="AB54" s="356"/>
      <c r="AG54" s="558"/>
      <c r="AI54" s="138"/>
    </row>
    <row r="55" spans="26:35" ht="12.75">
      <c r="Z55" s="446"/>
      <c r="AA55" s="446"/>
      <c r="AB55" s="356"/>
      <c r="AG55" s="558"/>
      <c r="AI55" s="138"/>
    </row>
    <row r="56" spans="26:35" ht="12.75">
      <c r="Z56" s="446"/>
      <c r="AA56" s="446"/>
      <c r="AB56" s="356"/>
      <c r="AG56" s="558"/>
      <c r="AI56" s="138"/>
    </row>
    <row r="57" spans="1:35" ht="12.75">
      <c r="A57" s="238" t="s">
        <v>406</v>
      </c>
      <c r="B57" s="238"/>
      <c r="Z57" s="446"/>
      <c r="AA57" s="446"/>
      <c r="AB57" s="356"/>
      <c r="AG57" s="558"/>
      <c r="AI57" s="138"/>
    </row>
    <row r="58" spans="1:35" ht="12.75">
      <c r="A58" s="238" t="s">
        <v>438</v>
      </c>
      <c r="Z58" s="446"/>
      <c r="AA58" s="446"/>
      <c r="AB58" s="356"/>
      <c r="AG58" s="558"/>
      <c r="AI58" s="138"/>
    </row>
    <row r="59" spans="26:35" ht="12.75">
      <c r="Z59" s="446"/>
      <c r="AA59" s="446"/>
      <c r="AB59" s="356"/>
      <c r="AG59" s="558"/>
      <c r="AI59" s="138"/>
    </row>
    <row r="60" spans="26:35" ht="12.75">
      <c r="Z60" s="446"/>
      <c r="AA60" s="446"/>
      <c r="AB60" s="356"/>
      <c r="AG60" s="558"/>
      <c r="AI60" s="138"/>
    </row>
    <row r="61" spans="26:35" ht="12.75">
      <c r="Z61" s="446"/>
      <c r="AA61" s="446"/>
      <c r="AB61" s="356"/>
      <c r="AG61" s="558"/>
      <c r="AI61" s="138"/>
    </row>
    <row r="62" spans="26:35" ht="12.75">
      <c r="Z62" s="446"/>
      <c r="AA62" s="446"/>
      <c r="AB62" s="356"/>
      <c r="AG62" s="558"/>
      <c r="AI62" s="138"/>
    </row>
    <row r="63" spans="26:35" ht="12.75">
      <c r="Z63" s="446"/>
      <c r="AA63" s="446"/>
      <c r="AB63" s="356"/>
      <c r="AG63" s="558"/>
      <c r="AI63" s="138"/>
    </row>
    <row r="64" spans="26:35" ht="12.75">
      <c r="Z64" s="446"/>
      <c r="AA64" s="446"/>
      <c r="AB64" s="356"/>
      <c r="AG64" s="558"/>
      <c r="AI64" s="138"/>
    </row>
    <row r="65" spans="26:35" ht="12.75">
      <c r="Z65" s="446"/>
      <c r="AA65" s="446"/>
      <c r="AB65" s="356"/>
      <c r="AG65" s="558"/>
      <c r="AI65" s="138"/>
    </row>
    <row r="66" spans="26:35" ht="12.75">
      <c r="Z66" s="446"/>
      <c r="AA66" s="446"/>
      <c r="AB66" s="356"/>
      <c r="AG66" s="558"/>
      <c r="AI66" s="138"/>
    </row>
    <row r="67" spans="26:35" ht="12.75">
      <c r="Z67" s="446"/>
      <c r="AA67" s="446"/>
      <c r="AB67" s="356"/>
      <c r="AG67" s="558"/>
      <c r="AI67" s="138"/>
    </row>
    <row r="68" spans="26:35" ht="12.75">
      <c r="Z68" s="446"/>
      <c r="AA68" s="446"/>
      <c r="AB68" s="356"/>
      <c r="AG68" s="558"/>
      <c r="AI68" s="138"/>
    </row>
    <row r="69" spans="26:35" ht="12.75">
      <c r="Z69" s="446"/>
      <c r="AA69" s="446"/>
      <c r="AB69" s="356"/>
      <c r="AG69" s="558"/>
      <c r="AI69" s="138"/>
    </row>
    <row r="70" spans="26:35" ht="12.75">
      <c r="Z70" s="446"/>
      <c r="AA70" s="446"/>
      <c r="AB70" s="356"/>
      <c r="AG70" s="558"/>
      <c r="AI70" s="138"/>
    </row>
    <row r="71" spans="26:35" ht="12.75">
      <c r="Z71" s="446"/>
      <c r="AA71" s="446"/>
      <c r="AB71" s="356"/>
      <c r="AG71" s="558"/>
      <c r="AI71" s="138"/>
    </row>
    <row r="72" spans="26:35" ht="12.75">
      <c r="Z72" s="446"/>
      <c r="AA72" s="446"/>
      <c r="AB72" s="356"/>
      <c r="AG72" s="558"/>
      <c r="AI72" s="138"/>
    </row>
    <row r="73" spans="26:35" ht="12.75">
      <c r="Z73" s="446"/>
      <c r="AA73" s="446"/>
      <c r="AB73" s="356"/>
      <c r="AG73" s="558"/>
      <c r="AI73" s="138"/>
    </row>
    <row r="74" spans="26:35" ht="12.75">
      <c r="Z74" s="446"/>
      <c r="AA74" s="446"/>
      <c r="AB74" s="356"/>
      <c r="AG74" s="558"/>
      <c r="AI74" s="138"/>
    </row>
    <row r="75" spans="26:35" ht="12.75">
      <c r="Z75" s="446"/>
      <c r="AA75" s="446"/>
      <c r="AB75" s="356"/>
      <c r="AG75" s="558"/>
      <c r="AI75" s="138"/>
    </row>
    <row r="76" spans="26:35" ht="12.75">
      <c r="Z76" s="446"/>
      <c r="AA76" s="446"/>
      <c r="AB76" s="356"/>
      <c r="AG76" s="558"/>
      <c r="AI76" s="138"/>
    </row>
    <row r="77" spans="26:35" ht="12.75">
      <c r="Z77" s="446"/>
      <c r="AA77" s="446"/>
      <c r="AB77" s="356"/>
      <c r="AG77" s="558"/>
      <c r="AI77" s="138"/>
    </row>
    <row r="78" spans="26:35" ht="12.75">
      <c r="Z78" s="446"/>
      <c r="AA78" s="446"/>
      <c r="AB78" s="356"/>
      <c r="AG78" s="558"/>
      <c r="AI78" s="138"/>
    </row>
    <row r="79" spans="26:35" ht="12.75">
      <c r="Z79" s="446"/>
      <c r="AA79" s="446"/>
      <c r="AB79" s="356"/>
      <c r="AG79" s="558"/>
      <c r="AI79" s="138"/>
    </row>
    <row r="80" spans="26:35" ht="12.75">
      <c r="Z80" s="446"/>
      <c r="AA80" s="446"/>
      <c r="AB80" s="356"/>
      <c r="AG80" s="558"/>
      <c r="AI80" s="138"/>
    </row>
    <row r="81" spans="28:35" ht="12.75">
      <c r="AB81" s="274"/>
      <c r="AG81" s="558"/>
      <c r="AI81" s="138"/>
    </row>
    <row r="82" spans="28:35" ht="12.75">
      <c r="AB82" s="274"/>
      <c r="AG82" s="558"/>
      <c r="AI82" s="138"/>
    </row>
    <row r="83" spans="28:35" ht="12.75">
      <c r="AB83" s="274"/>
      <c r="AG83" s="558"/>
      <c r="AI83" s="138"/>
    </row>
    <row r="84" spans="28:35" ht="12.75">
      <c r="AB84" s="274"/>
      <c r="AG84" s="558"/>
      <c r="AI84" s="138"/>
    </row>
    <row r="85" spans="28:35" ht="12.75">
      <c r="AB85" s="274"/>
      <c r="AG85" s="558"/>
      <c r="AI85" s="138"/>
    </row>
    <row r="86" spans="28:35" ht="12.75">
      <c r="AB86" s="274"/>
      <c r="AG86" s="558"/>
      <c r="AI86" s="138"/>
    </row>
    <row r="87" spans="28:35" ht="12.75">
      <c r="AB87" s="274"/>
      <c r="AG87" s="558"/>
      <c r="AI87" s="138"/>
    </row>
    <row r="88" spans="28:35" ht="12.75">
      <c r="AB88" s="274"/>
      <c r="AG88" s="558"/>
      <c r="AI88" s="138"/>
    </row>
    <row r="89" spans="28:35" ht="12.75">
      <c r="AB89" s="274"/>
      <c r="AG89" s="558"/>
      <c r="AI89" s="138"/>
    </row>
    <row r="90" spans="28:35" ht="12.75">
      <c r="AB90" s="274"/>
      <c r="AG90" s="558"/>
      <c r="AI90" s="138"/>
    </row>
    <row r="91" spans="28:35" ht="12.75">
      <c r="AB91" s="274"/>
      <c r="AG91" s="558"/>
      <c r="AI91" s="138"/>
    </row>
    <row r="92" spans="28:35" ht="12.75">
      <c r="AB92" s="274"/>
      <c r="AG92" s="558"/>
      <c r="AI92" s="138"/>
    </row>
    <row r="93" spans="28:35" ht="12.75">
      <c r="AB93" s="274"/>
      <c r="AG93" s="558"/>
      <c r="AI93" s="138"/>
    </row>
    <row r="94" spans="28:35" ht="12.75">
      <c r="AB94" s="274"/>
      <c r="AG94" s="558"/>
      <c r="AI94" s="138"/>
    </row>
    <row r="95" spans="28:35" ht="12.75">
      <c r="AB95" s="274"/>
      <c r="AG95" s="558"/>
      <c r="AI95" s="138"/>
    </row>
    <row r="96" spans="28:35" ht="12.75">
      <c r="AB96" s="274"/>
      <c r="AG96" s="558"/>
      <c r="AI96" s="138"/>
    </row>
    <row r="97" spans="28:35" ht="12.75">
      <c r="AB97" s="274"/>
      <c r="AG97" s="558"/>
      <c r="AI97" s="138"/>
    </row>
    <row r="98" spans="28:35" ht="12.75">
      <c r="AB98" s="274"/>
      <c r="AG98" s="558"/>
      <c r="AI98" s="138"/>
    </row>
    <row r="99" spans="28:35" ht="12.75">
      <c r="AB99" s="274"/>
      <c r="AG99" s="558"/>
      <c r="AI99" s="138"/>
    </row>
    <row r="100" spans="28:35" ht="12.75">
      <c r="AB100" s="274"/>
      <c r="AG100" s="558"/>
      <c r="AI100" s="138"/>
    </row>
    <row r="101" spans="28:35" ht="12.75">
      <c r="AB101" s="274"/>
      <c r="AG101" s="558"/>
      <c r="AI101" s="138"/>
    </row>
    <row r="102" spans="28:35" ht="12.75">
      <c r="AB102" s="274"/>
      <c r="AG102" s="558"/>
      <c r="AI102" s="138"/>
    </row>
    <row r="103" spans="28:35" ht="12.75">
      <c r="AB103" s="274"/>
      <c r="AG103" s="558"/>
      <c r="AI103" s="138"/>
    </row>
    <row r="104" spans="28:35" ht="12.75">
      <c r="AB104" s="274"/>
      <c r="AG104" s="558"/>
      <c r="AI104" s="138"/>
    </row>
    <row r="105" spans="28:35" ht="12.75">
      <c r="AB105" s="274"/>
      <c r="AG105" s="558"/>
      <c r="AI105" s="138"/>
    </row>
    <row r="106" spans="28:35" ht="12.75">
      <c r="AB106" s="274"/>
      <c r="AG106" s="558"/>
      <c r="AI106" s="138"/>
    </row>
    <row r="107" spans="28:35" ht="12.75">
      <c r="AB107" s="274"/>
      <c r="AG107" s="558"/>
      <c r="AI107" s="138"/>
    </row>
    <row r="108" spans="28:35" ht="12.75">
      <c r="AB108" s="274"/>
      <c r="AG108" s="558"/>
      <c r="AI108" s="138"/>
    </row>
    <row r="109" spans="28:35" ht="12.75">
      <c r="AB109" s="274"/>
      <c r="AG109" s="558"/>
      <c r="AI109" s="138"/>
    </row>
    <row r="110" spans="28:35" ht="12.75">
      <c r="AB110" s="274"/>
      <c r="AG110" s="558"/>
      <c r="AI110" s="138"/>
    </row>
    <row r="111" spans="28:35" ht="12.75">
      <c r="AB111" s="274"/>
      <c r="AG111" s="558"/>
      <c r="AI111" s="138"/>
    </row>
    <row r="112" spans="28:35" ht="12.75">
      <c r="AB112" s="274"/>
      <c r="AG112" s="558"/>
      <c r="AI112" s="138"/>
    </row>
    <row r="113" spans="28:35" ht="12.75">
      <c r="AB113" s="274"/>
      <c r="AG113" s="558"/>
      <c r="AI113" s="138"/>
    </row>
    <row r="114" spans="28:35" ht="12.75">
      <c r="AB114" s="274"/>
      <c r="AG114" s="138"/>
      <c r="AI114" s="138"/>
    </row>
    <row r="115" spans="28:35" ht="12.75">
      <c r="AB115" s="274"/>
      <c r="AG115" s="138"/>
      <c r="AI115" s="138"/>
    </row>
    <row r="116" spans="28:35" ht="12.75">
      <c r="AB116" s="274"/>
      <c r="AG116" s="138"/>
      <c r="AI116" s="138"/>
    </row>
    <row r="117" spans="28:35" ht="12.75">
      <c r="AB117" s="274"/>
      <c r="AG117" s="138"/>
      <c r="AI117" s="138"/>
    </row>
    <row r="118" spans="28:35" ht="12.75">
      <c r="AB118" s="274"/>
      <c r="AG118" s="138"/>
      <c r="AI118" s="138"/>
    </row>
    <row r="119" spans="28:35" ht="12.75">
      <c r="AB119" s="274"/>
      <c r="AG119" s="138"/>
      <c r="AI119" s="138"/>
    </row>
    <row r="120" spans="28:35" ht="12.75">
      <c r="AB120" s="274"/>
      <c r="AG120" s="138"/>
      <c r="AI120" s="138"/>
    </row>
    <row r="121" spans="28:35" ht="12.75">
      <c r="AB121" s="274"/>
      <c r="AG121" s="138"/>
      <c r="AI121" s="138"/>
    </row>
    <row r="122" spans="28:35" ht="12.75">
      <c r="AB122" s="274"/>
      <c r="AG122" s="138"/>
      <c r="AI122" s="138"/>
    </row>
    <row r="123" spans="28:35" ht="12.75">
      <c r="AB123" s="274"/>
      <c r="AG123" s="138"/>
      <c r="AI123" s="138"/>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9" r:id="rId1"/>
</worksheet>
</file>

<file path=xl/worksheets/sheet16.xml><?xml version="1.0" encoding="utf-8"?>
<worksheet xmlns="http://schemas.openxmlformats.org/spreadsheetml/2006/main" xmlns:r="http://schemas.openxmlformats.org/officeDocument/2006/relationships">
  <sheetPr>
    <tabColor indexed="12"/>
    <pageSetUpPr fitToPage="1"/>
  </sheetPr>
  <dimension ref="A1:AK38"/>
  <sheetViews>
    <sheetView zoomScale="80" zoomScaleNormal="80" zoomScalePageLayoutView="0" workbookViewId="0" topLeftCell="A1">
      <pane xSplit="3" ySplit="2" topLeftCell="O3" activePane="bottomRight" state="frozen"/>
      <selection pane="topLeft" activeCell="P25" sqref="P25"/>
      <selection pane="topRight" activeCell="P25" sqref="P25"/>
      <selection pane="bottomLeft" activeCell="P25" sqref="P25"/>
      <selection pane="bottomRight" activeCell="AB15" sqref="AB15"/>
    </sheetView>
  </sheetViews>
  <sheetFormatPr defaultColWidth="9.140625" defaultRowHeight="12.75" outlineLevelCol="1"/>
  <cols>
    <col min="1" max="1" width="4.00390625" style="20" customWidth="1"/>
    <col min="2" max="2" width="4.28125" style="20" customWidth="1"/>
    <col min="3" max="3" width="32.28125" style="5" customWidth="1"/>
    <col min="4" max="4" width="9.8515625" style="126" hidden="1" customWidth="1" outlineLevel="1"/>
    <col min="5" max="8" width="10.00390625" style="121" hidden="1" customWidth="1" outlineLevel="1"/>
    <col min="9" max="9" width="2.7109375" style="121" hidden="1" customWidth="1" outlineLevel="1"/>
    <col min="10" max="10" width="9.8515625" style="121" hidden="1" customWidth="1" outlineLevel="1"/>
    <col min="11" max="17" width="10.00390625" style="121" hidden="1" customWidth="1" outlineLevel="1"/>
    <col min="18" max="19" width="10.00390625" style="121" hidden="1" customWidth="1" outlineLevel="1" collapsed="1"/>
    <col min="20" max="21" width="10.00390625" style="121" hidden="1" customWidth="1" outlineLevel="1"/>
    <col min="22" max="22" width="10.00390625" style="121" customWidth="1" collapsed="1"/>
    <col min="23" max="27" width="10.00390625" style="121" customWidth="1"/>
    <col min="28" max="28" width="10.00390625" style="122" customWidth="1"/>
    <col min="29" max="29" width="10.00390625" style="121" customWidth="1"/>
    <col min="30" max="30" width="8.00390625" style="121" customWidth="1"/>
    <col min="31" max="31" width="2.8515625" style="121" customWidth="1"/>
    <col min="32" max="32" width="10.00390625" style="121" customWidth="1"/>
    <col min="33" max="33" width="10.00390625" style="122" customWidth="1"/>
    <col min="34" max="34" width="8.57421875" style="121" customWidth="1"/>
    <col min="35" max="35" width="10.00390625" style="121" hidden="1" customWidth="1"/>
    <col min="36" max="36" width="10.00390625" style="122" hidden="1" customWidth="1"/>
    <col min="37" max="37" width="8.57421875" style="121" hidden="1" customWidth="1"/>
    <col min="38" max="16384" width="9.140625" style="20" customWidth="1"/>
  </cols>
  <sheetData>
    <row r="1" spans="1:37" s="42" customFormat="1" ht="20.25">
      <c r="A1" s="41" t="s">
        <v>376</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+'12.CumulativeAllowances'!AC2</f>
        <v>3Q13
vs 
2Q13</v>
      </c>
      <c r="AD2" s="285" t="str">
        <f>+'12.CumulativeAllowances'!AD2</f>
        <v>3Q13
vs 
3Q12</v>
      </c>
      <c r="AF2" s="74" t="s">
        <v>442</v>
      </c>
      <c r="AG2" s="74" t="s">
        <v>443</v>
      </c>
      <c r="AH2" s="285" t="s">
        <v>444</v>
      </c>
      <c r="AI2" s="285" t="str">
        <f>+'13.Capital'!AF2</f>
        <v>9M12</v>
      </c>
      <c r="AJ2" s="285" t="str">
        <f>+'13.Capital'!AG2</f>
        <v>9M13</v>
      </c>
      <c r="AK2" s="285" t="str">
        <f>+'13.Capital'!AH2</f>
        <v>9M13
vs 
9M12</v>
      </c>
    </row>
    <row r="3" spans="1:37" s="24" customFormat="1" ht="14.25" customHeight="1">
      <c r="A3" s="47" t="s">
        <v>103</v>
      </c>
      <c r="B3" s="31"/>
      <c r="D3" s="8"/>
      <c r="E3" s="17"/>
      <c r="F3" s="17"/>
      <c r="G3" s="17"/>
      <c r="H3" s="17"/>
      <c r="I3" s="17"/>
      <c r="J3" s="17"/>
      <c r="K3" s="17"/>
      <c r="L3" s="17"/>
      <c r="M3" s="17"/>
      <c r="N3" s="17"/>
      <c r="O3" s="17"/>
      <c r="P3" s="17"/>
      <c r="Q3" s="17"/>
      <c r="R3" s="17"/>
      <c r="S3" s="17"/>
      <c r="T3" s="17"/>
      <c r="U3" s="17"/>
      <c r="V3" s="17"/>
      <c r="W3" s="17"/>
      <c r="X3" s="17"/>
      <c r="Y3" s="17"/>
      <c r="Z3" s="17"/>
      <c r="AA3" s="169"/>
      <c r="AB3" s="144"/>
      <c r="AC3" s="17"/>
      <c r="AD3" s="17"/>
      <c r="AE3" s="17"/>
      <c r="AF3" s="17"/>
      <c r="AG3" s="125"/>
      <c r="AH3" s="17"/>
      <c r="AI3" s="17"/>
      <c r="AJ3" s="125"/>
      <c r="AK3" s="17"/>
    </row>
    <row r="4" spans="2:37" ht="12.75" customHeight="1">
      <c r="B4" s="100" t="s">
        <v>5</v>
      </c>
      <c r="C4" s="20"/>
      <c r="D4" s="121">
        <v>1635</v>
      </c>
      <c r="E4" s="121">
        <v>1399</v>
      </c>
      <c r="F4" s="121">
        <v>1398</v>
      </c>
      <c r="G4" s="121">
        <v>1446</v>
      </c>
      <c r="H4" s="121">
        <v>1427</v>
      </c>
      <c r="I4" s="160"/>
      <c r="J4" s="121">
        <v>333</v>
      </c>
      <c r="K4" s="121">
        <v>337</v>
      </c>
      <c r="L4" s="121">
        <v>360</v>
      </c>
      <c r="M4" s="121">
        <v>369</v>
      </c>
      <c r="N4" s="121">
        <v>359</v>
      </c>
      <c r="O4" s="121">
        <v>353</v>
      </c>
      <c r="P4" s="121">
        <v>338</v>
      </c>
      <c r="Q4" s="121">
        <v>348</v>
      </c>
      <c r="R4" s="121">
        <v>342</v>
      </c>
      <c r="S4" s="121">
        <v>375</v>
      </c>
      <c r="T4" s="121">
        <v>350</v>
      </c>
      <c r="U4" s="121">
        <v>379</v>
      </c>
      <c r="V4" s="121">
        <v>367</v>
      </c>
      <c r="W4" s="121">
        <v>356</v>
      </c>
      <c r="X4" s="121">
        <v>356</v>
      </c>
      <c r="Y4" s="121">
        <v>348</v>
      </c>
      <c r="Z4" s="121">
        <v>359</v>
      </c>
      <c r="AA4" s="121">
        <v>364</v>
      </c>
      <c r="AB4" s="122">
        <v>381</v>
      </c>
      <c r="AC4" s="121">
        <f aca="true" t="shared" si="0" ref="AC4:AC10">IF(AND(AB4=0,AB4=0),0,IF(OR(AND(AB4&gt;0,AA4&lt;=0),AND(AB4&lt;0,AA4&gt;=0)),"nm",IF(AND(AB4&lt;0,AA4&lt;0),IF(-(AB4/AA4-1)*100&lt;-100,"(&gt;100)",-(AB4/AA4-1)*100),IF((AB4/AA4-1)*100&gt;100,"&gt;100",(AB4/AA4-1)*100))))</f>
        <v>4.670329670329676</v>
      </c>
      <c r="AD4" s="121">
        <f aca="true" t="shared" si="1" ref="AD4:AD10">IF(AND(AB4=0,X4=0),0,IF(OR(AND(AB4&gt;0,X4&lt;=0),AND(AB4&lt;0,X4&gt;=0)),"nm",IF(AND(AB4&lt;0,X4&lt;0),IF(-(AB4/X4-1)*100&lt;-100,"(&gt;100)",-(AB4/X4-1)*100),IF((AB4/X4-1)*100&gt;100,"&gt;100",(AB4/X4-1)*100))))</f>
        <v>7.02247191011236</v>
      </c>
      <c r="AF4" s="121">
        <v>1079</v>
      </c>
      <c r="AG4" s="122">
        <v>1104</v>
      </c>
      <c r="AH4" s="121">
        <f>IF(AND(AG4=0,AF4=0),0,IF(OR(AND(AG4&gt;0,AF4&lt;=0),AND(AG4&lt;0,AF4&gt;=0)),"nm",IF(AND(AG4&lt;0,AF4&lt;0),IF(-(AG4/AF4-1)*100&lt;-100,"(&gt;100)",-(AG4/AF4-1)*100),IF((AG4/AF4-1)*100&gt;100,"&gt;100",(AG4/AF4-1)*100))))</f>
        <v>2.3169601482854407</v>
      </c>
      <c r="AI4" s="121">
        <f>SUM(V4:W4)</f>
        <v>723</v>
      </c>
      <c r="AJ4" s="122">
        <f>SUM(Z4:AA4)</f>
        <v>723</v>
      </c>
      <c r="AK4" s="121">
        <f>IF(AND(AJ4=0,AI4=0),0,IF(OR(AND(AJ4&gt;0,AI4&lt;=0),AND(AJ4&lt;0,AI4&gt;=0)),"nm",IF(AND(AJ4&lt;0,AI4&lt;0),IF(-(AJ4/AI4-1)*100&lt;-100,"(&gt;100)",-(AJ4/AI4-1)*100),IF((AJ4/AI4-1)*100&gt;100,"&gt;100",(AJ4/AI4-1)*100))))</f>
        <v>0</v>
      </c>
    </row>
    <row r="5" spans="2:37" ht="14.25">
      <c r="B5" s="100" t="s">
        <v>25</v>
      </c>
      <c r="C5" s="20"/>
      <c r="D5" s="121">
        <v>665</v>
      </c>
      <c r="E5" s="121">
        <v>609</v>
      </c>
      <c r="F5" s="121">
        <v>667</v>
      </c>
      <c r="G5" s="121">
        <v>758</v>
      </c>
      <c r="H5" s="121">
        <v>873</v>
      </c>
      <c r="I5" s="160"/>
      <c r="J5" s="121">
        <v>142</v>
      </c>
      <c r="K5" s="121">
        <v>151</v>
      </c>
      <c r="L5" s="121">
        <v>161</v>
      </c>
      <c r="M5" s="121">
        <v>156</v>
      </c>
      <c r="N5" s="121">
        <v>157</v>
      </c>
      <c r="O5" s="121">
        <v>168</v>
      </c>
      <c r="P5" s="121">
        <v>164</v>
      </c>
      <c r="Q5" s="121">
        <v>178</v>
      </c>
      <c r="R5" s="121">
        <v>171</v>
      </c>
      <c r="S5" s="121">
        <v>187</v>
      </c>
      <c r="T5" s="121">
        <v>196</v>
      </c>
      <c r="U5" s="121">
        <v>204</v>
      </c>
      <c r="V5" s="121">
        <v>236</v>
      </c>
      <c r="W5" s="121">
        <v>210</v>
      </c>
      <c r="X5" s="121">
        <v>213</v>
      </c>
      <c r="Y5" s="121">
        <v>214</v>
      </c>
      <c r="Z5" s="121">
        <v>263</v>
      </c>
      <c r="AA5" s="121">
        <v>259</v>
      </c>
      <c r="AB5" s="122">
        <v>255</v>
      </c>
      <c r="AC5" s="121">
        <f t="shared" si="0"/>
        <v>-1.5444015444015413</v>
      </c>
      <c r="AD5" s="121">
        <f t="shared" si="1"/>
        <v>19.718309859154925</v>
      </c>
      <c r="AF5" s="121">
        <v>659</v>
      </c>
      <c r="AG5" s="122">
        <v>777</v>
      </c>
      <c r="AH5" s="121">
        <f>IF(AND(AG5=0,AF5=0),0,IF(OR(AND(AG5&gt;0,AF5&lt;=0),AND(AG5&lt;0,AF5&gt;=0)),"nm",IF(AND(AG5&lt;0,AF5&lt;0),IF(-(AG5/AF5-1)*100&lt;-100,"(&gt;100)",-(AG5/AF5-1)*100),IF((AG5/AF5-1)*100&gt;100,"&gt;100",(AG5/AF5-1)*100))))</f>
        <v>17.90591805766313</v>
      </c>
      <c r="AI5" s="121">
        <f aca="true" t="shared" si="2" ref="AI5:AI10">SUM(V5:W5)</f>
        <v>446</v>
      </c>
      <c r="AJ5" s="122">
        <f>SUM(Z5:AA5)</f>
        <v>522</v>
      </c>
      <c r="AK5" s="121">
        <f>IF(AND(AJ5=0,AI5=0),0,IF(OR(AND(AJ5&gt;0,AI5&lt;=0),AND(AJ5&lt;0,AI5&gt;=0)),"nm",IF(AND(AJ5&lt;0,AI5&lt;0),IF(-(AJ5/AI5-1)*100&lt;-100,"(&gt;100)",-(AJ5/AI5-1)*100),IF((AJ5/AI5-1)*100&gt;100,"&gt;100",(AJ5/AI5-1)*100))))</f>
        <v>17.040358744394624</v>
      </c>
    </row>
    <row r="6" spans="2:37" ht="14.25">
      <c r="B6" s="101" t="s">
        <v>6</v>
      </c>
      <c r="C6" s="20"/>
      <c r="D6" s="121">
        <v>2300</v>
      </c>
      <c r="E6" s="121">
        <v>2008</v>
      </c>
      <c r="F6" s="121">
        <v>2065</v>
      </c>
      <c r="G6" s="121">
        <v>2204</v>
      </c>
      <c r="H6" s="121">
        <v>2300</v>
      </c>
      <c r="I6" s="160"/>
      <c r="J6" s="121">
        <f aca="true" t="shared" si="3" ref="J6:O6">J4+J5</f>
        <v>475</v>
      </c>
      <c r="K6" s="121">
        <f t="shared" si="3"/>
        <v>488</v>
      </c>
      <c r="L6" s="121">
        <f t="shared" si="3"/>
        <v>521</v>
      </c>
      <c r="M6" s="121">
        <f t="shared" si="3"/>
        <v>525</v>
      </c>
      <c r="N6" s="121">
        <f t="shared" si="3"/>
        <v>516</v>
      </c>
      <c r="O6" s="121">
        <f t="shared" si="3"/>
        <v>521</v>
      </c>
      <c r="P6" s="121">
        <v>502</v>
      </c>
      <c r="Q6" s="121">
        <v>526</v>
      </c>
      <c r="R6" s="121">
        <v>513</v>
      </c>
      <c r="S6" s="121">
        <v>562</v>
      </c>
      <c r="T6" s="121">
        <v>546</v>
      </c>
      <c r="U6" s="121">
        <v>583</v>
      </c>
      <c r="V6" s="121">
        <v>603</v>
      </c>
      <c r="W6" s="121">
        <v>566</v>
      </c>
      <c r="X6" s="121">
        <v>569</v>
      </c>
      <c r="Y6" s="121">
        <v>562</v>
      </c>
      <c r="Z6" s="121">
        <v>622</v>
      </c>
      <c r="AA6" s="121">
        <v>623</v>
      </c>
      <c r="AB6" s="122">
        <v>636</v>
      </c>
      <c r="AC6" s="121">
        <f t="shared" si="0"/>
        <v>2.0866773675762396</v>
      </c>
      <c r="AD6" s="121">
        <f t="shared" si="1"/>
        <v>11.7750439367311</v>
      </c>
      <c r="AF6" s="121">
        <v>1738</v>
      </c>
      <c r="AG6" s="122">
        <f>AG4+AG5</f>
        <v>1881</v>
      </c>
      <c r="AH6" s="121">
        <f aca="true" t="shared" si="4" ref="AH6:AH11">IF(AND(AG6=0,AF6=0),0,IF(OR(AND(AG6&gt;0,AF6&lt;=0),AND(AG6&lt;0,AF6&gt;=0)),"nm",IF(AND(AG6&lt;0,AF6&lt;0),IF(-(AG6/AF6-1)*100&lt;-100,"(&gt;100)",-(AG6/AF6-1)*100),IF((AG6/AF6-1)*100&gt;100,"&gt;100",(AG6/AF6-1)*100))))</f>
        <v>8.227848101265822</v>
      </c>
      <c r="AI6" s="121">
        <f t="shared" si="2"/>
        <v>1169</v>
      </c>
      <c r="AJ6" s="122">
        <f>SUM(Z6:AA6)</f>
        <v>1245</v>
      </c>
      <c r="AK6" s="121">
        <f>IF(AND(AJ6=0,AI6=0),0,IF(OR(AND(AJ6&gt;0,AI6&lt;=0),AND(AJ6&lt;0,AI6&gt;=0)),"nm",IF(AND(AJ6&lt;0,AI6&lt;0),IF(-(AJ6/AI6-1)*100&lt;-100,"(&gt;100)",-(AJ6/AI6-1)*100),IF((AJ6/AI6-1)*100&gt;100,"&gt;100",(AJ6/AI6-1)*100))))</f>
        <v>6.501283147989745</v>
      </c>
    </row>
    <row r="7" spans="2:37" ht="14.25">
      <c r="B7" s="101" t="s">
        <v>0</v>
      </c>
      <c r="C7" s="20"/>
      <c r="D7" s="121">
        <v>1295</v>
      </c>
      <c r="E7" s="121">
        <v>1245</v>
      </c>
      <c r="F7" s="121">
        <v>1471</v>
      </c>
      <c r="G7" s="121">
        <v>1561</v>
      </c>
      <c r="H7" s="121">
        <v>1602</v>
      </c>
      <c r="I7" s="160"/>
      <c r="J7" s="121">
        <v>272</v>
      </c>
      <c r="K7" s="121">
        <v>291</v>
      </c>
      <c r="L7" s="121">
        <v>295</v>
      </c>
      <c r="M7" s="121">
        <v>387</v>
      </c>
      <c r="N7" s="121">
        <v>350</v>
      </c>
      <c r="O7" s="121">
        <v>363</v>
      </c>
      <c r="P7" s="121">
        <v>357</v>
      </c>
      <c r="Q7" s="121">
        <v>401</v>
      </c>
      <c r="R7" s="121">
        <v>364</v>
      </c>
      <c r="S7" s="121">
        <v>377</v>
      </c>
      <c r="T7" s="121">
        <v>391</v>
      </c>
      <c r="U7" s="121">
        <v>429</v>
      </c>
      <c r="V7" s="121">
        <v>363</v>
      </c>
      <c r="W7" s="121">
        <v>387</v>
      </c>
      <c r="X7" s="121">
        <v>407</v>
      </c>
      <c r="Y7" s="121">
        <v>445</v>
      </c>
      <c r="Z7" s="121">
        <v>400</v>
      </c>
      <c r="AA7" s="121">
        <v>427</v>
      </c>
      <c r="AB7" s="122">
        <v>432</v>
      </c>
      <c r="AC7" s="121">
        <f t="shared" si="0"/>
        <v>1.1709601873536313</v>
      </c>
      <c r="AD7" s="121">
        <f t="shared" si="1"/>
        <v>6.142506142506132</v>
      </c>
      <c r="AF7" s="121">
        <v>1157</v>
      </c>
      <c r="AG7" s="122">
        <v>1259</v>
      </c>
      <c r="AH7" s="121">
        <f t="shared" si="4"/>
        <v>8.815903197925667</v>
      </c>
      <c r="AI7" s="121">
        <f>SUM(V7:W7)</f>
        <v>750</v>
      </c>
      <c r="AJ7" s="122">
        <f>SUM(Z7:AA7)</f>
        <v>827</v>
      </c>
      <c r="AK7" s="121">
        <f>IF(AND(AJ7=0,AI7=0),0,IF(OR(AND(AJ7&gt;0,AI7&lt;=0),AND(AJ7&lt;0,AI7&gt;=0)),"nm",IF(AND(AJ7&lt;0,AI7&lt;0),IF(-(AJ7/AI7-1)*100&lt;-100,"(&gt;100)",-(AJ7/AI7-1)*100),IF((AJ7/AI7-1)*100&gt;100,"&gt;100",(AJ7/AI7-1)*100))))</f>
        <v>10.26666666666667</v>
      </c>
    </row>
    <row r="8" spans="2:37" ht="14.25">
      <c r="B8" s="101" t="s">
        <v>8</v>
      </c>
      <c r="C8" s="20"/>
      <c r="D8" s="121">
        <v>195</v>
      </c>
      <c r="E8" s="121">
        <v>82</v>
      </c>
      <c r="F8" s="121">
        <v>55</v>
      </c>
      <c r="G8" s="121">
        <v>71</v>
      </c>
      <c r="H8" s="121">
        <v>93</v>
      </c>
      <c r="I8" s="160"/>
      <c r="J8" s="121">
        <v>35</v>
      </c>
      <c r="K8" s="121">
        <v>38</v>
      </c>
      <c r="L8" s="121">
        <v>18</v>
      </c>
      <c r="M8" s="121">
        <v>-9</v>
      </c>
      <c r="N8" s="121">
        <v>12</v>
      </c>
      <c r="O8" s="121">
        <v>23</v>
      </c>
      <c r="P8" s="121">
        <v>15</v>
      </c>
      <c r="Q8" s="121">
        <v>5</v>
      </c>
      <c r="R8" s="121">
        <v>16</v>
      </c>
      <c r="S8" s="121">
        <v>26</v>
      </c>
      <c r="T8" s="121">
        <v>14</v>
      </c>
      <c r="U8" s="121">
        <v>15</v>
      </c>
      <c r="V8" s="121">
        <v>21</v>
      </c>
      <c r="W8" s="121">
        <v>26</v>
      </c>
      <c r="X8" s="121">
        <v>28</v>
      </c>
      <c r="Y8" s="121">
        <v>18</v>
      </c>
      <c r="Z8" s="121">
        <v>18</v>
      </c>
      <c r="AA8" s="121">
        <v>20</v>
      </c>
      <c r="AB8" s="122">
        <v>25</v>
      </c>
      <c r="AC8" s="121">
        <f t="shared" si="0"/>
        <v>25</v>
      </c>
      <c r="AD8" s="121">
        <f t="shared" si="1"/>
        <v>-10.71428571428571</v>
      </c>
      <c r="AF8" s="121">
        <v>75</v>
      </c>
      <c r="AG8" s="122">
        <v>63</v>
      </c>
      <c r="AH8" s="121">
        <f t="shared" si="4"/>
        <v>-16.000000000000004</v>
      </c>
      <c r="AI8" s="121">
        <f t="shared" si="2"/>
        <v>47</v>
      </c>
      <c r="AJ8" s="122">
        <f>SUM(Z8:AA8)</f>
        <v>38</v>
      </c>
      <c r="AK8" s="121">
        <f>IF(AND(AJ8=0,AI8=0),0,IF(OR(AND(AJ8&gt;0,AI8&lt;=0),AND(AJ8&lt;0,AI8&gt;=0)),"nm",IF(AND(AJ8&lt;0,AI8&lt;0),IF(-(AJ8/AI8-1)*100&lt;-100,"(&gt;100)",-(AJ8/AI8-1)*100),IF((AJ8/AI8-1)*100&gt;100,"&gt;100",(AJ8/AI8-1)*100))))</f>
        <v>-19.14893617021277</v>
      </c>
    </row>
    <row r="9" spans="2:37" ht="14.25">
      <c r="B9" s="102" t="s">
        <v>67</v>
      </c>
      <c r="C9" s="20"/>
      <c r="D9" s="121">
        <v>0</v>
      </c>
      <c r="E9" s="121">
        <v>0</v>
      </c>
      <c r="F9" s="121">
        <v>0</v>
      </c>
      <c r="G9" s="121">
        <v>0</v>
      </c>
      <c r="H9" s="121">
        <v>0</v>
      </c>
      <c r="I9" s="160"/>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2">
        <v>0</v>
      </c>
      <c r="AC9" s="121">
        <f t="shared" si="0"/>
        <v>0</v>
      </c>
      <c r="AD9" s="121">
        <f t="shared" si="1"/>
        <v>0</v>
      </c>
      <c r="AF9" s="121">
        <v>0</v>
      </c>
      <c r="AG9" s="122">
        <v>0</v>
      </c>
      <c r="AH9" s="121">
        <f>IF(AND(AG9=0,AF9=0),0,IF(OR(AND(AG9&gt;0,AF9&lt;=0),AND(AG9&lt;0,AF9&gt;=0)),"nm",IF(AND(AG9&lt;0,AF9&lt;0),IF(-(AG9/AF9-1)*100&lt;-100,"(&gt;100)",-(AG9/AF9-1)*100),IF((AG9/AF9-1)*100&gt;100,"&gt;100",(AG9/AF9-1)*100))))</f>
        <v>0</v>
      </c>
      <c r="AI9" s="121">
        <f t="shared" si="2"/>
        <v>0</v>
      </c>
      <c r="AJ9" s="122">
        <f>SUM(Z9:AA9)</f>
        <v>0</v>
      </c>
      <c r="AK9" s="121">
        <f>IF(AND(AJ9=0,AI9=0),0,IF(OR(AND(AJ9&gt;0,AI9&lt;=0),AND(AJ9&lt;0,AI9&gt;=0)),"nm",IF(AND(AJ9&lt;0,AI9&lt;0),IF(-(AJ9/AI9-1)*100&lt;-100,"(&gt;100)",-(AJ9/AI9-1)*100),IF((AJ9/AI9-1)*100&gt;100,"&gt;100",(AJ9/AI9-1)*100))))</f>
        <v>0</v>
      </c>
    </row>
    <row r="10" spans="2:37" ht="14.25">
      <c r="B10" s="102" t="s">
        <v>9</v>
      </c>
      <c r="C10" s="20"/>
      <c r="D10" s="121">
        <v>810</v>
      </c>
      <c r="E10" s="121">
        <v>681</v>
      </c>
      <c r="F10" s="121">
        <v>539</v>
      </c>
      <c r="G10" s="121">
        <v>572</v>
      </c>
      <c r="H10" s="121">
        <v>605</v>
      </c>
      <c r="I10" s="160"/>
      <c r="J10" s="121">
        <f aca="true" t="shared" si="5" ref="J10:O10">J6-J7-J8+J9</f>
        <v>168</v>
      </c>
      <c r="K10" s="121">
        <f t="shared" si="5"/>
        <v>159</v>
      </c>
      <c r="L10" s="121">
        <f t="shared" si="5"/>
        <v>208</v>
      </c>
      <c r="M10" s="121">
        <f t="shared" si="5"/>
        <v>147</v>
      </c>
      <c r="N10" s="121">
        <f t="shared" si="5"/>
        <v>154</v>
      </c>
      <c r="O10" s="121">
        <f t="shared" si="5"/>
        <v>135</v>
      </c>
      <c r="P10" s="121">
        <v>130</v>
      </c>
      <c r="Q10" s="121">
        <v>120</v>
      </c>
      <c r="R10" s="121">
        <v>133</v>
      </c>
      <c r="S10" s="121">
        <v>159</v>
      </c>
      <c r="T10" s="121">
        <v>141</v>
      </c>
      <c r="U10" s="121">
        <v>139</v>
      </c>
      <c r="V10" s="121">
        <v>219</v>
      </c>
      <c r="W10" s="121">
        <v>153</v>
      </c>
      <c r="X10" s="121">
        <v>134</v>
      </c>
      <c r="Y10" s="121">
        <v>99</v>
      </c>
      <c r="Z10" s="121">
        <v>204</v>
      </c>
      <c r="AA10" s="121">
        <v>176</v>
      </c>
      <c r="AB10" s="122">
        <v>179</v>
      </c>
      <c r="AC10" s="121">
        <f t="shared" si="0"/>
        <v>1.7045454545454586</v>
      </c>
      <c r="AD10" s="121">
        <f t="shared" si="1"/>
        <v>33.582089552238806</v>
      </c>
      <c r="AF10" s="121">
        <v>506</v>
      </c>
      <c r="AG10" s="122">
        <f>AG6-AG7-AG8+AG9</f>
        <v>559</v>
      </c>
      <c r="AH10" s="121">
        <f t="shared" si="4"/>
        <v>10.474308300395263</v>
      </c>
      <c r="AI10" s="121">
        <f t="shared" si="2"/>
        <v>372</v>
      </c>
      <c r="AJ10" s="122">
        <f>SUM(Z10:AA10)</f>
        <v>380</v>
      </c>
      <c r="AK10" s="121">
        <f>IF(AND(AJ10=0,AI10=0),0,IF(OR(AND(AJ10&gt;0,AI10&lt;=0),AND(AJ10&lt;0,AI10&gt;=0)),"nm",IF(AND(AJ10&lt;0,AI10&lt;0),IF(-(AJ10/AI10-1)*100&lt;-100,"(&gt;100)",-(AJ10/AI10-1)*100),IF((AJ10/AI10-1)*100&gt;100,"&gt;100",(AJ10/AI10-1)*100))))</f>
        <v>2.1505376344086002</v>
      </c>
    </row>
    <row r="11" spans="2:37" ht="14.25" hidden="1">
      <c r="B11" s="102" t="s">
        <v>68</v>
      </c>
      <c r="C11" s="20"/>
      <c r="D11" s="121">
        <v>138</v>
      </c>
      <c r="E11" s="121">
        <v>109</v>
      </c>
      <c r="F11" s="121">
        <v>81</v>
      </c>
      <c r="G11" s="121">
        <v>0</v>
      </c>
      <c r="H11" s="121">
        <v>0</v>
      </c>
      <c r="I11" s="160"/>
      <c r="J11" s="121">
        <v>26</v>
      </c>
      <c r="K11" s="121">
        <v>27</v>
      </c>
      <c r="L11" s="121">
        <v>33</v>
      </c>
      <c r="M11" s="121">
        <v>23</v>
      </c>
      <c r="N11" s="121">
        <v>23</v>
      </c>
      <c r="O11" s="121">
        <v>21</v>
      </c>
      <c r="P11" s="121">
        <v>20</v>
      </c>
      <c r="Q11" s="121">
        <v>17</v>
      </c>
      <c r="R11" s="121">
        <v>19</v>
      </c>
      <c r="Z11" s="436"/>
      <c r="AA11" s="171"/>
      <c r="AB11" s="489"/>
      <c r="AC11" s="121">
        <f>IF(AND(Z11=0,R11=0),0,IF(OR(AND(Z11&gt;0,R11&lt;=0),AND(Z11&lt;0,R11&gt;=0)),"nm",IF(AND(Z11&lt;0,R11&lt;0),IF(-(Z11/R11-1)*100&lt;-100,"(&gt;100)",-(Z11/R11-1)*100),IF((Z11/R11-1)*100&gt;100,"&gt;100",(Z11/R11-1)*100))))</f>
        <v>-100</v>
      </c>
      <c r="AD11" s="121">
        <f>IF(AND(Z11=0,O11=0),0,IF(OR(AND(Z11&gt;0,O11&lt;=0),AND(Z11&lt;0,O11&gt;=0)),"nm",IF(AND(Z11&lt;0,O11&lt;0),IF(-(Z11/O11-1)*100&lt;-100,"(&gt;100)",-(Z11/O11-1)*100),IF((Z11/O11-1)*100&gt;100,"&gt;100",(Z11/O11-1)*100))))</f>
        <v>-100</v>
      </c>
      <c r="AG11" s="489"/>
      <c r="AH11" s="121">
        <f t="shared" si="4"/>
        <v>0</v>
      </c>
      <c r="AJ11" s="461"/>
      <c r="AK11" s="121">
        <f>IF(AND(AJ11=0,AI11=0),0,IF(OR(AND(AJ11&gt;0,AI11&lt;=0),AND(AJ11&lt;0,AI11&gt;=0)),"nm",IF(AND(AJ11&lt;0,AI11&lt;0),IF(-(AJ11/AI11-1)*100&lt;-100,"(&gt;100)",-(AJ11/AI11-1)*100),IF((AJ11/AI11-1)*100&gt;100,"&gt;100",(AJ11/AI11-1)*100))))</f>
        <v>0</v>
      </c>
    </row>
    <row r="12" spans="2:37" ht="14.25" hidden="1">
      <c r="B12" s="102" t="s">
        <v>53</v>
      </c>
      <c r="C12" s="20"/>
      <c r="D12" s="121">
        <v>672</v>
      </c>
      <c r="E12" s="121">
        <v>572</v>
      </c>
      <c r="F12" s="121">
        <v>458</v>
      </c>
      <c r="G12" s="121">
        <v>0</v>
      </c>
      <c r="H12" s="121">
        <v>0</v>
      </c>
      <c r="I12" s="160"/>
      <c r="J12" s="121">
        <f aca="true" t="shared" si="6" ref="J12:O12">J10-J11</f>
        <v>142</v>
      </c>
      <c r="K12" s="121">
        <f t="shared" si="6"/>
        <v>132</v>
      </c>
      <c r="L12" s="121">
        <f t="shared" si="6"/>
        <v>175</v>
      </c>
      <c r="M12" s="121">
        <f t="shared" si="6"/>
        <v>124</v>
      </c>
      <c r="N12" s="121">
        <f t="shared" si="6"/>
        <v>131</v>
      </c>
      <c r="O12" s="121">
        <f t="shared" si="6"/>
        <v>114</v>
      </c>
      <c r="P12" s="121">
        <v>110</v>
      </c>
      <c r="Q12" s="121">
        <v>103</v>
      </c>
      <c r="R12" s="121">
        <v>114</v>
      </c>
      <c r="Z12" s="436"/>
      <c r="AA12" s="171"/>
      <c r="AB12" s="489"/>
      <c r="AC12" s="121">
        <f>IF(AND(Z12=0,R12=0),0,IF(OR(AND(Z12&gt;0,R12&lt;=0),AND(Z12&lt;0,R12&gt;=0)),"nm",IF(AND(Z12&lt;0,R12&lt;0),IF(-(Z12/R12-1)*100&lt;-100,"(&gt;100)",-(Z12/R12-1)*100),IF((Z12/R12-1)*100&gt;100,"&gt;100",(Z12/R12-1)*100))))</f>
        <v>-100</v>
      </c>
      <c r="AD12" s="121">
        <f>IF(AND(Z12=0,O12=0),0,IF(OR(AND(Z12&gt;0,O12&lt;=0),AND(Z12&lt;0,O12&gt;=0)),"nm",IF(AND(Z12&lt;0,O12&lt;0),IF(-(Z12/O12-1)*100&lt;-100,"(&gt;100)",-(Z12/O12-1)*100),IF((Z12/O12-1)*100&gt;100,"&gt;100",(Z12/O12-1)*100))))</f>
        <v>-100</v>
      </c>
      <c r="AG12" s="489"/>
      <c r="AH12" s="121">
        <f>IF(AND(AG12=0,AF12=0),0,IF(OR(AND(AG12&gt;0,AF12&lt;=0),AND(AG12&lt;0,AF12&gt;=0)),"nm",IF(AND(AG12&lt;0,AF12&lt;0),IF(-(AG12/AF12-1)*100&lt;-100,"(&gt;100)",-(AG12/AF12-1)*100),IF((AG12/AF12-1)*100&gt;100,"&gt;100",(AG12/AF12-1)*100))))</f>
        <v>0</v>
      </c>
      <c r="AJ12" s="461"/>
      <c r="AK12" s="121">
        <f>IF(AND(AJ12=0,AI12=0),0,IF(OR(AND(AJ12&gt;0,AI12&lt;=0),AND(AJ12&lt;0,AI12&gt;=0)),"nm",IF(AND(AJ12&lt;0,AI12&lt;0),IF(-(AJ12/AI12-1)*100&lt;-100,"(&gt;100)",-(AJ12/AI12-1)*100),IF((AJ12/AI12-1)*100&gt;100,"&gt;100",(AJ12/AI12-1)*100))))</f>
        <v>0</v>
      </c>
    </row>
    <row r="13" spans="14:36" ht="14.25">
      <c r="N13" s="165"/>
      <c r="O13" s="165"/>
      <c r="P13" s="165"/>
      <c r="Q13" s="165"/>
      <c r="R13" s="165"/>
      <c r="S13" s="165"/>
      <c r="T13" s="165"/>
      <c r="U13" s="165"/>
      <c r="V13" s="165"/>
      <c r="W13" s="165"/>
      <c r="X13" s="165"/>
      <c r="Y13" s="165"/>
      <c r="Z13" s="436"/>
      <c r="AA13" s="171"/>
      <c r="AB13" s="489"/>
      <c r="AF13" s="165"/>
      <c r="AG13" s="489"/>
      <c r="AI13" s="165"/>
      <c r="AJ13" s="461"/>
    </row>
    <row r="14" spans="1:37" s="24" customFormat="1" ht="14.25" customHeight="1">
      <c r="A14" s="47" t="s">
        <v>108</v>
      </c>
      <c r="B14" s="31"/>
      <c r="D14" s="8"/>
      <c r="E14" s="17"/>
      <c r="F14" s="17"/>
      <c r="G14" s="17"/>
      <c r="H14" s="17"/>
      <c r="I14" s="17"/>
      <c r="J14" s="17"/>
      <c r="K14" s="17"/>
      <c r="L14" s="17"/>
      <c r="M14" s="17"/>
      <c r="N14" s="169"/>
      <c r="O14" s="169"/>
      <c r="P14" s="169"/>
      <c r="Q14" s="169"/>
      <c r="R14" s="169"/>
      <c r="S14" s="169"/>
      <c r="T14" s="169"/>
      <c r="U14" s="169"/>
      <c r="V14" s="169"/>
      <c r="W14" s="169"/>
      <c r="X14" s="169"/>
      <c r="Y14" s="169"/>
      <c r="Z14" s="437"/>
      <c r="AA14" s="437"/>
      <c r="AB14" s="498"/>
      <c r="AC14" s="17"/>
      <c r="AD14" s="17"/>
      <c r="AE14" s="17"/>
      <c r="AF14" s="169"/>
      <c r="AG14" s="498"/>
      <c r="AH14" s="17"/>
      <c r="AI14" s="169"/>
      <c r="AJ14" s="462"/>
      <c r="AK14" s="17"/>
    </row>
    <row r="15" spans="2:37" ht="14.25">
      <c r="B15" s="101" t="s">
        <v>72</v>
      </c>
      <c r="C15" s="20"/>
      <c r="D15" s="121">
        <v>39539</v>
      </c>
      <c r="E15" s="121">
        <v>45094</v>
      </c>
      <c r="F15" s="121">
        <v>51328</v>
      </c>
      <c r="G15" s="121">
        <v>56167</v>
      </c>
      <c r="H15" s="121">
        <v>63232</v>
      </c>
      <c r="J15" s="121">
        <v>40145</v>
      </c>
      <c r="K15" s="121">
        <v>39750</v>
      </c>
      <c r="L15" s="121">
        <v>41702</v>
      </c>
      <c r="M15" s="121">
        <v>45094</v>
      </c>
      <c r="N15" s="121">
        <v>46799</v>
      </c>
      <c r="O15" s="121">
        <v>49247</v>
      </c>
      <c r="P15" s="121">
        <v>49706</v>
      </c>
      <c r="Q15" s="121">
        <v>51328</v>
      </c>
      <c r="R15" s="121">
        <v>52031</v>
      </c>
      <c r="S15" s="121">
        <v>52591</v>
      </c>
      <c r="T15" s="121">
        <v>54940</v>
      </c>
      <c r="U15" s="121">
        <v>56167</v>
      </c>
      <c r="V15" s="121">
        <v>58708</v>
      </c>
      <c r="W15" s="121">
        <v>60844</v>
      </c>
      <c r="X15" s="121">
        <v>61705</v>
      </c>
      <c r="Y15" s="121">
        <v>63232</v>
      </c>
      <c r="Z15" s="121">
        <v>65336</v>
      </c>
      <c r="AA15" s="121">
        <v>68186</v>
      </c>
      <c r="AB15" s="122">
        <f>AG15</f>
        <v>70906</v>
      </c>
      <c r="AC15" s="121">
        <f>IF(AND(AB15=0,AB15=0),0,IF(OR(AND(AB15&gt;0,AA15&lt;=0),AND(AB15&lt;0,AA15&gt;=0)),"nm",IF(AND(AB15&lt;0,AA15&lt;0),IF(-(AB15/AA15-1)*100&lt;-100,"(&gt;100)",-(AB15/AA15-1)*100),IF((AB15/AA15-1)*100&gt;100,"&gt;100",(AB15/AA15-1)*100))))</f>
        <v>3.989088669228291</v>
      </c>
      <c r="AD15" s="121">
        <f>IF(AND(AB15=0,X15=0),0,IF(OR(AND(AB15&gt;0,X15&lt;=0),AND(AB15&lt;0,X15&gt;=0)),"nm",IF(AND(AB15&lt;0,X15&lt;0),IF(-(AB15/X15-1)*100&lt;-100,"(&gt;100)",-(AB15/X15-1)*100),IF((AB15/X15-1)*100&gt;100,"&gt;100",(AB15/X15-1)*100))))</f>
        <v>14.911271371849931</v>
      </c>
      <c r="AF15" s="121">
        <v>61705</v>
      </c>
      <c r="AG15" s="122">
        <v>70906</v>
      </c>
      <c r="AH15" s="121">
        <f>IF(AND(AG15=0,AF15=0),0,IF(OR(AND(AG15&gt;0,AF15&lt;=0),AND(AG15&lt;0,AF15&gt;=0)),"nm",IF(AND(AG15&lt;0,AF15&lt;0),IF(-(AG15/AF15-1)*100&lt;-100,"(&gt;100)",-(AG15/AF15-1)*100),IF((AG15/AF15-1)*100&gt;100,"&gt;100",(AG15/AF15-1)*100))))</f>
        <v>14.911271371849931</v>
      </c>
      <c r="AI15" s="121">
        <f>W15</f>
        <v>60844</v>
      </c>
      <c r="AJ15" s="122">
        <f>AA15</f>
        <v>68186</v>
      </c>
      <c r="AK15" s="121">
        <f>IF(AND(AJ15=0,AI15=0),0,IF(OR(AND(AJ15&gt;0,AI15&lt;=0),AND(AJ15&lt;0,AI15&gt;=0)),"nm",IF(AND(AJ15&lt;0,AI15&lt;0),IF(-(AJ15/AI15-1)*100&lt;-100,"(&gt;100)",-(AJ15/AI15-1)*100),IF((AJ15/AI15-1)*100&gt;100,"&gt;100",(AJ15/AI15-1)*100))))</f>
        <v>12.066925251462756</v>
      </c>
    </row>
    <row r="16" spans="2:37" ht="14.25">
      <c r="B16" s="101" t="s">
        <v>11</v>
      </c>
      <c r="C16" s="20"/>
      <c r="D16" s="121">
        <v>108531</v>
      </c>
      <c r="E16" s="121">
        <v>115194</v>
      </c>
      <c r="F16" s="121">
        <v>117529</v>
      </c>
      <c r="G16" s="121">
        <v>127475</v>
      </c>
      <c r="H16" s="121">
        <v>136639</v>
      </c>
      <c r="J16" s="121">
        <v>114916</v>
      </c>
      <c r="K16" s="121">
        <v>116129</v>
      </c>
      <c r="L16" s="121">
        <v>114490</v>
      </c>
      <c r="M16" s="121">
        <v>115194</v>
      </c>
      <c r="N16" s="121">
        <v>115590</v>
      </c>
      <c r="O16" s="121">
        <v>115824</v>
      </c>
      <c r="P16" s="121">
        <v>113944</v>
      </c>
      <c r="Q16" s="121">
        <v>117529</v>
      </c>
      <c r="R16" s="121">
        <v>112885</v>
      </c>
      <c r="S16" s="121">
        <v>122424</v>
      </c>
      <c r="T16" s="121">
        <v>126530</v>
      </c>
      <c r="U16" s="121">
        <v>127475</v>
      </c>
      <c r="V16" s="121">
        <v>130918</v>
      </c>
      <c r="W16" s="121">
        <v>130326</v>
      </c>
      <c r="X16" s="121">
        <v>134727</v>
      </c>
      <c r="Y16" s="121">
        <v>136639</v>
      </c>
      <c r="Z16" s="121">
        <v>137398</v>
      </c>
      <c r="AA16" s="121">
        <v>139914</v>
      </c>
      <c r="AB16" s="122">
        <f>AG16</f>
        <v>139313</v>
      </c>
      <c r="AC16" s="121">
        <f>IF(AND(AB16=0,AB16=0),0,IF(OR(AND(AB16&gt;0,AA16&lt;=0),AND(AB16&lt;0,AA16&gt;=0)),"nm",IF(AND(AB16&lt;0,AA16&lt;0),IF(-(AB16/AA16-1)*100&lt;-100,"(&gt;100)",-(AB16/AA16-1)*100),IF((AB16/AA16-1)*100&gt;100,"&gt;100",(AB16/AA16-1)*100))))</f>
        <v>-0.42954958045656744</v>
      </c>
      <c r="AD16" s="121">
        <f>IF(AND(AB16=0,X16=0),0,IF(OR(AND(AB16&gt;0,X16&lt;=0),AND(AB16&lt;0,X16&gt;=0)),"nm",IF(AND(AB16&lt;0,X16&lt;0),IF(-(AB16/X16-1)*100&lt;-100,"(&gt;100)",-(AB16/X16-1)*100),IF((AB16/X16-1)*100&gt;100,"&gt;100",(AB16/X16-1)*100))))</f>
        <v>3.403920520756798</v>
      </c>
      <c r="AF16" s="121">
        <v>134727</v>
      </c>
      <c r="AG16" s="122">
        <v>139313</v>
      </c>
      <c r="AH16" s="121">
        <f>IF(AND(AG16=0,AF16=0),0,IF(OR(AND(AG16&gt;0,AF16&lt;=0),AND(AG16&lt;0,AF16&gt;=0)),"nm",IF(AND(AG16&lt;0,AF16&lt;0),IF(-(AG16/AF16-1)*100&lt;-100,"(&gt;100)",-(AG16/AF16-1)*100),IF((AG16/AF16-1)*100&gt;100,"&gt;100",(AG16/AF16-1)*100))))</f>
        <v>3.403920520756798</v>
      </c>
      <c r="AI16" s="121">
        <f>W16</f>
        <v>130326</v>
      </c>
      <c r="AJ16" s="122">
        <f>AA16</f>
        <v>139914</v>
      </c>
      <c r="AK16" s="121">
        <f>IF(AND(AJ16=0,AI16=0),0,IF(OR(AND(AJ16&gt;0,AI16&lt;=0),AND(AJ16&lt;0,AI16&gt;=0)),"nm",IF(AND(AJ16&lt;0,AI16&lt;0),IF(-(AJ16/AI16-1)*100&lt;-100,"(&gt;100)",-(AJ16/AI16-1)*100),IF((AJ16/AI16-1)*100&gt;100,"&gt;100",(AJ16/AI16-1)*100))))</f>
        <v>7.356935684360755</v>
      </c>
    </row>
    <row r="17" spans="2:37" ht="14.25">
      <c r="B17" s="101" t="s">
        <v>69</v>
      </c>
      <c r="C17" s="20"/>
      <c r="D17" s="121">
        <v>67</v>
      </c>
      <c r="E17" s="121">
        <v>28</v>
      </c>
      <c r="F17" s="121">
        <v>45</v>
      </c>
      <c r="G17" s="121">
        <v>31</v>
      </c>
      <c r="H17" s="121">
        <v>57</v>
      </c>
      <c r="J17" s="121">
        <v>4</v>
      </c>
      <c r="K17" s="121">
        <v>4</v>
      </c>
      <c r="L17" s="121">
        <v>6</v>
      </c>
      <c r="M17" s="121">
        <v>14</v>
      </c>
      <c r="N17" s="121">
        <v>3</v>
      </c>
      <c r="O17" s="121">
        <v>11</v>
      </c>
      <c r="P17" s="121">
        <v>9</v>
      </c>
      <c r="Q17" s="121">
        <v>22</v>
      </c>
      <c r="R17" s="121">
        <v>9</v>
      </c>
      <c r="S17" s="121">
        <v>6</v>
      </c>
      <c r="T17" s="121">
        <v>6</v>
      </c>
      <c r="U17" s="121">
        <v>10</v>
      </c>
      <c r="V17" s="121">
        <v>3</v>
      </c>
      <c r="W17" s="121">
        <v>5</v>
      </c>
      <c r="X17" s="121">
        <v>20</v>
      </c>
      <c r="Y17" s="121">
        <v>29</v>
      </c>
      <c r="Z17" s="121">
        <v>8</v>
      </c>
      <c r="AA17" s="121">
        <v>11</v>
      </c>
      <c r="AB17" s="122">
        <v>19</v>
      </c>
      <c r="AC17" s="121">
        <f>IF(AND(AB17=0,AB17=0),0,IF(OR(AND(AB17&gt;0,AA17&lt;=0),AND(AB17&lt;0,AA17&gt;=0)),"nm",IF(AND(AB17&lt;0,AA17&lt;0),IF(-(AB17/AA17-1)*100&lt;-100,"(&gt;100)",-(AB17/AA17-1)*100),IF((AB17/AA17-1)*100&gt;100,"&gt;100",(AB17/AA17-1)*100))))</f>
        <v>72.72727272727273</v>
      </c>
      <c r="AD17" s="121">
        <f>IF(AND(AB17=0,X17=0),0,IF(OR(AND(AB17&gt;0,X17&lt;=0),AND(AB17&lt;0,X17&gt;=0)),"nm",IF(AND(AB17&lt;0,X17&lt;0),IF(-(AB17/X17-1)*100&lt;-100,"(&gt;100)",-(AB17/X17-1)*100),IF((AB17/X17-1)*100&gt;100,"&gt;100",(AB17/X17-1)*100))))</f>
        <v>-5.000000000000004</v>
      </c>
      <c r="AF17" s="121">
        <v>28</v>
      </c>
      <c r="AG17" s="122">
        <f>Z17+AA17+AB17</f>
        <v>38</v>
      </c>
      <c r="AH17" s="121">
        <f>IF(AND(AG17=0,AF17=0),0,IF(OR(AND(AG17&gt;0,AF17&lt;=0),AND(AG17&lt;0,AF17&gt;=0)),"nm",IF(AND(AG17&lt;0,AF17&lt;0),IF(-(AG17/AF17-1)*100&lt;-100,"(&gt;100)",-(AG17/AF17-1)*100),IF((AG17/AF17-1)*100&gt;100,"&gt;100",(AG17/AF17-1)*100))))</f>
        <v>35.71428571428572</v>
      </c>
      <c r="AI17" s="121">
        <f>V17+W17</f>
        <v>8</v>
      </c>
      <c r="AJ17" s="122">
        <f>Z17+AA17</f>
        <v>19</v>
      </c>
      <c r="AK17" s="121" t="str">
        <f>IF(AND(AJ17=0,AI17=0),0,IF(OR(AND(AJ17&gt;0,AI17&lt;=0),AND(AJ17&lt;0,AI17&gt;=0)),"nm",IF(AND(AJ17&lt;0,AI17&lt;0),IF(-(AJ17/AI17-1)*100&lt;-100,"(&gt;100)",-(AJ17/AI17-1)*100),IF((AJ17/AI17-1)*100&gt;100,"&gt;100",(AJ17/AI17-1)*100))))</f>
        <v>&gt;100</v>
      </c>
    </row>
    <row r="18" spans="2:37" ht="14.25">
      <c r="B18" s="101" t="s">
        <v>70</v>
      </c>
      <c r="C18" s="20"/>
      <c r="D18" s="121">
        <v>32</v>
      </c>
      <c r="E18" s="121">
        <v>50</v>
      </c>
      <c r="F18" s="121">
        <v>47</v>
      </c>
      <c r="G18" s="121">
        <v>43</v>
      </c>
      <c r="H18" s="121">
        <v>32</v>
      </c>
      <c r="J18" s="121">
        <v>12</v>
      </c>
      <c r="K18" s="121">
        <v>12</v>
      </c>
      <c r="L18" s="121">
        <v>12</v>
      </c>
      <c r="M18" s="121">
        <v>14</v>
      </c>
      <c r="N18" s="121">
        <v>12</v>
      </c>
      <c r="O18" s="121">
        <v>13</v>
      </c>
      <c r="P18" s="121">
        <v>11</v>
      </c>
      <c r="Q18" s="121">
        <v>11</v>
      </c>
      <c r="R18" s="121">
        <v>12</v>
      </c>
      <c r="S18" s="121">
        <v>10</v>
      </c>
      <c r="T18" s="121">
        <v>14</v>
      </c>
      <c r="U18" s="121">
        <v>7</v>
      </c>
      <c r="V18" s="121">
        <v>8</v>
      </c>
      <c r="W18" s="121">
        <v>8</v>
      </c>
      <c r="X18" s="121">
        <v>7</v>
      </c>
      <c r="Y18" s="121">
        <v>9</v>
      </c>
      <c r="Z18" s="121">
        <v>9</v>
      </c>
      <c r="AA18" s="121">
        <v>8</v>
      </c>
      <c r="AB18" s="122">
        <v>7</v>
      </c>
      <c r="AC18" s="121">
        <f>IF(AND(AB18=0,AB18=0),0,IF(OR(AND(AB18&gt;0,AA18&lt;=0),AND(AB18&lt;0,AA18&gt;=0)),"nm",IF(AND(AB18&lt;0,AA18&lt;0),IF(-(AB18/AA18-1)*100&lt;-100,"(&gt;100)",-(AB18/AA18-1)*100),IF((AB18/AA18-1)*100&gt;100,"&gt;100",(AB18/AA18-1)*100))))</f>
        <v>-12.5</v>
      </c>
      <c r="AD18" s="121">
        <f>IF(AND(AB18=0,X18=0),0,IF(OR(AND(AB18&gt;0,X18&lt;=0),AND(AB18&lt;0,X18&gt;=0)),"nm",IF(AND(AB18&lt;0,X18&lt;0),IF(-(AB18/X18-1)*100&lt;-100,"(&gt;100)",-(AB18/X18-1)*100),IF((AB18/X18-1)*100&gt;100,"&gt;100",(AB18/X18-1)*100))))</f>
        <v>0</v>
      </c>
      <c r="AF18" s="121">
        <v>23</v>
      </c>
      <c r="AG18" s="122">
        <f>Z18+AA18+AB18</f>
        <v>24</v>
      </c>
      <c r="AH18" s="121">
        <f>IF(AND(AG18=0,AF18=0),0,IF(OR(AND(AG18&gt;0,AF18&lt;=0),AND(AG18&lt;0,AF18&gt;=0)),"nm",IF(AND(AG18&lt;0,AF18&lt;0),IF(-(AG18/AF18-1)*100&lt;-100,"(&gt;100)",-(AG18/AF18-1)*100),IF((AG18/AF18-1)*100&gt;100,"&gt;100",(AG18/AF18-1)*100))))</f>
        <v>4.347826086956519</v>
      </c>
      <c r="AI18" s="121">
        <f>V18+W18</f>
        <v>16</v>
      </c>
      <c r="AJ18" s="122">
        <f>Z18+AA18</f>
        <v>17</v>
      </c>
      <c r="AK18" s="121">
        <f>IF(AND(AJ18=0,AI18=0),0,IF(OR(AND(AJ18&gt;0,AI18&lt;=0),AND(AJ18&lt;0,AI18&gt;=0)),"nm",IF(AND(AJ18&lt;0,AI18&lt;0),IF(-(AJ18/AI18-1)*100&lt;-100,"(&gt;100)",-(AJ18/AI18-1)*100),IF((AJ18/AI18-1)*100&gt;100,"&gt;100",(AJ18/AI18-1)*100))))</f>
        <v>6.25</v>
      </c>
    </row>
    <row r="19" spans="2:27" ht="14.25">
      <c r="B19" s="38"/>
      <c r="N19" s="165"/>
      <c r="O19" s="165"/>
      <c r="P19" s="165"/>
      <c r="Q19" s="165"/>
      <c r="R19" s="165"/>
      <c r="S19" s="165"/>
      <c r="T19" s="165"/>
      <c r="U19" s="165"/>
      <c r="V19" s="165"/>
      <c r="W19" s="165"/>
      <c r="X19" s="165"/>
      <c r="Y19" s="165"/>
      <c r="AA19" s="165"/>
    </row>
    <row r="20" spans="4:36" ht="14.25">
      <c r="D20" s="121"/>
      <c r="Z20" s="355"/>
      <c r="AA20" s="165"/>
      <c r="AB20" s="489"/>
      <c r="AG20" s="352"/>
      <c r="AJ20" s="461"/>
    </row>
    <row r="21" spans="4:36" ht="14.25">
      <c r="D21" s="121"/>
      <c r="Z21" s="355"/>
      <c r="AA21" s="165"/>
      <c r="AB21" s="489"/>
      <c r="AG21" s="352"/>
      <c r="AJ21" s="461"/>
    </row>
    <row r="22" spans="4:36" ht="14.25">
      <c r="D22" s="121"/>
      <c r="Z22" s="355"/>
      <c r="AA22" s="165"/>
      <c r="AB22" s="489"/>
      <c r="AG22" s="352"/>
      <c r="AJ22" s="461"/>
    </row>
    <row r="23" spans="4:33" ht="14.25">
      <c r="D23" s="121"/>
      <c r="Z23" s="355"/>
      <c r="AA23" s="355"/>
      <c r="AB23" s="352"/>
      <c r="AG23" s="352"/>
    </row>
    <row r="24" spans="4:33" ht="14.25">
      <c r="D24" s="121"/>
      <c r="Z24" s="355"/>
      <c r="AA24" s="355"/>
      <c r="AB24" s="352"/>
      <c r="AG24" s="352"/>
    </row>
    <row r="25" spans="4:33" ht="14.25">
      <c r="D25" s="121"/>
      <c r="Z25" s="355"/>
      <c r="AA25" s="355"/>
      <c r="AB25" s="352"/>
      <c r="AG25" s="352"/>
    </row>
    <row r="26" spans="4:33" ht="14.25">
      <c r="D26" s="121"/>
      <c r="Z26" s="355"/>
      <c r="AA26" s="355"/>
      <c r="AB26" s="352"/>
      <c r="AG26" s="352"/>
    </row>
    <row r="27" spans="4:28" ht="14.25">
      <c r="D27" s="121"/>
      <c r="Z27" s="355"/>
      <c r="AA27" s="355"/>
      <c r="AB27" s="352"/>
    </row>
    <row r="28" spans="4:28" ht="14.25">
      <c r="D28" s="121"/>
      <c r="Z28" s="355"/>
      <c r="AA28" s="355"/>
      <c r="AB28" s="352"/>
    </row>
    <row r="29" spans="4:28" ht="14.25">
      <c r="D29" s="121"/>
      <c r="Z29" s="355"/>
      <c r="AA29" s="355"/>
      <c r="AB29" s="352"/>
    </row>
    <row r="30" spans="4:28" ht="14.25">
      <c r="D30" s="121"/>
      <c r="Z30" s="355"/>
      <c r="AA30" s="355"/>
      <c r="AB30" s="352"/>
    </row>
    <row r="31" spans="4:28" ht="14.25">
      <c r="D31" s="121"/>
      <c r="Z31" s="355"/>
      <c r="AA31" s="355"/>
      <c r="AB31" s="352"/>
    </row>
    <row r="32" spans="4:28" ht="14.25">
      <c r="D32" s="121"/>
      <c r="Z32" s="355"/>
      <c r="AA32" s="355"/>
      <c r="AB32" s="352"/>
    </row>
    <row r="33" spans="4:28" ht="14.25">
      <c r="D33" s="121"/>
      <c r="Z33" s="355"/>
      <c r="AA33" s="355"/>
      <c r="AB33" s="352"/>
    </row>
    <row r="34" ht="14.25">
      <c r="D34" s="121"/>
    </row>
    <row r="35" ht="14.25">
      <c r="D35" s="121"/>
    </row>
    <row r="36" ht="14.25">
      <c r="D36" s="121"/>
    </row>
    <row r="37" ht="14.25">
      <c r="D37" s="121"/>
    </row>
    <row r="38" ht="14.25">
      <c r="D38" s="12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4" r:id="rId1"/>
  <ignoredErrors>
    <ignoredError sqref="AI6:AJ6 AI4 AI5 AI19:AJ19 AI8:AJ16 AJ7" formulaRange="1"/>
  </ignoredErrors>
</worksheet>
</file>

<file path=xl/worksheets/sheet17.xml><?xml version="1.0" encoding="utf-8"?>
<worksheet xmlns="http://schemas.openxmlformats.org/spreadsheetml/2006/main" xmlns:r="http://schemas.openxmlformats.org/officeDocument/2006/relationships">
  <sheetPr>
    <tabColor indexed="12"/>
    <pageSetUpPr fitToPage="1"/>
  </sheetPr>
  <dimension ref="A1:AK30"/>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AF18" sqref="AF18"/>
    </sheetView>
  </sheetViews>
  <sheetFormatPr defaultColWidth="9.140625" defaultRowHeight="12.75" outlineLevelCol="1"/>
  <cols>
    <col min="1" max="1" width="4.00390625" style="20" customWidth="1"/>
    <col min="2" max="2" width="4.28125" style="20" customWidth="1"/>
    <col min="3" max="3" width="33.7109375" style="5" customWidth="1"/>
    <col min="4" max="4" width="9.8515625" style="126" hidden="1" customWidth="1" outlineLevel="1"/>
    <col min="5" max="8" width="10.00390625" style="121" hidden="1" customWidth="1" outlineLevel="1"/>
    <col min="9" max="9" width="2.8515625" style="121" hidden="1" customWidth="1" outlineLevel="1"/>
    <col min="10" max="11" width="9.8515625" style="121" hidden="1" customWidth="1" outlineLevel="1"/>
    <col min="12" max="12" width="10.57421875" style="121" hidden="1" customWidth="1" outlineLevel="1"/>
    <col min="13"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7" width="9.8515625" style="121" bestFit="1" customWidth="1"/>
    <col min="28" max="28" width="9.8515625" style="122" bestFit="1" customWidth="1"/>
    <col min="29" max="30" width="8.140625" style="121" bestFit="1" customWidth="1"/>
    <col min="31" max="31" width="3.140625" style="121" customWidth="1"/>
    <col min="32" max="32" width="9.8515625" style="121" customWidth="1"/>
    <col min="33" max="33" width="9.8515625" style="122" customWidth="1"/>
    <col min="34" max="34" width="8.140625" style="121" customWidth="1"/>
    <col min="35" max="35" width="9.8515625" style="121" hidden="1" customWidth="1"/>
    <col min="36" max="36" width="9.8515625" style="122" hidden="1" customWidth="1"/>
    <col min="37" max="37" width="8.140625" style="121" hidden="1" customWidth="1"/>
    <col min="38" max="16384" width="9.140625" style="20" customWidth="1"/>
  </cols>
  <sheetData>
    <row r="1" spans="1:37" s="42" customFormat="1" ht="20.25">
      <c r="A1" s="41" t="s">
        <v>331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+'15.Consumer'!AC2</f>
        <v>3Q13
vs 
2Q13</v>
      </c>
      <c r="AD2" s="285" t="str">
        <f>+'15.Consumer'!AD2</f>
        <v>3Q13
vs 
3Q12</v>
      </c>
      <c r="AF2" s="74" t="s">
        <v>442</v>
      </c>
      <c r="AG2" s="74" t="s">
        <v>443</v>
      </c>
      <c r="AH2" s="285" t="s">
        <v>444</v>
      </c>
      <c r="AI2" s="285" t="str">
        <f>+'15.Consumer'!AI2</f>
        <v>9M12</v>
      </c>
      <c r="AJ2" s="285" t="str">
        <f>+'15.Consumer'!AJ2</f>
        <v>9M13</v>
      </c>
      <c r="AK2" s="285" t="str">
        <f>+'15.Consumer'!AK2</f>
        <v>9M13
vs 
9M12</v>
      </c>
    </row>
    <row r="3" spans="1:37" s="24" customFormat="1" ht="14.25" customHeight="1">
      <c r="A3" s="88" t="s">
        <v>103</v>
      </c>
      <c r="B3" s="31"/>
      <c r="D3" s="17"/>
      <c r="E3" s="17"/>
      <c r="F3" s="17"/>
      <c r="G3" s="17"/>
      <c r="H3" s="17"/>
      <c r="I3" s="17"/>
      <c r="J3" s="17"/>
      <c r="K3" s="17"/>
      <c r="L3" s="17"/>
      <c r="M3" s="17"/>
      <c r="N3" s="170"/>
      <c r="O3" s="170"/>
      <c r="P3" s="170"/>
      <c r="Q3" s="170"/>
      <c r="R3" s="170"/>
      <c r="S3" s="170"/>
      <c r="T3" s="170"/>
      <c r="U3" s="170"/>
      <c r="V3" s="169"/>
      <c r="W3" s="169"/>
      <c r="X3" s="169"/>
      <c r="Y3" s="169"/>
      <c r="Z3" s="17"/>
      <c r="AA3" s="17"/>
      <c r="AB3" s="498"/>
      <c r="AC3" s="17"/>
      <c r="AD3" s="17"/>
      <c r="AE3" s="17"/>
      <c r="AF3" s="170"/>
      <c r="AG3" s="498"/>
      <c r="AH3" s="17"/>
      <c r="AI3" s="169"/>
      <c r="AJ3" s="144"/>
      <c r="AK3" s="17"/>
    </row>
    <row r="4" spans="2:37" ht="14.25">
      <c r="B4" s="101" t="s">
        <v>5</v>
      </c>
      <c r="C4" s="20"/>
      <c r="D4" s="121">
        <v>1410</v>
      </c>
      <c r="E4" s="121">
        <v>1844</v>
      </c>
      <c r="F4" s="121">
        <v>1995</v>
      </c>
      <c r="G4" s="121">
        <v>2317</v>
      </c>
      <c r="H4" s="121">
        <v>2767</v>
      </c>
      <c r="I4" s="160"/>
      <c r="J4" s="121">
        <v>427</v>
      </c>
      <c r="K4" s="121">
        <v>450</v>
      </c>
      <c r="L4" s="121">
        <v>486</v>
      </c>
      <c r="M4" s="121">
        <v>481</v>
      </c>
      <c r="N4" s="121">
        <v>474</v>
      </c>
      <c r="O4" s="121">
        <v>503</v>
      </c>
      <c r="P4" s="121">
        <v>505</v>
      </c>
      <c r="Q4" s="121">
        <v>513</v>
      </c>
      <c r="R4" s="121">
        <v>519</v>
      </c>
      <c r="S4" s="121">
        <v>552</v>
      </c>
      <c r="T4" s="121">
        <v>589</v>
      </c>
      <c r="U4" s="121">
        <v>657</v>
      </c>
      <c r="V4" s="121">
        <v>674</v>
      </c>
      <c r="W4" s="422">
        <v>708</v>
      </c>
      <c r="X4" s="422">
        <v>697</v>
      </c>
      <c r="Y4" s="121">
        <v>668</v>
      </c>
      <c r="Z4" s="121">
        <v>718</v>
      </c>
      <c r="AA4" s="121">
        <v>742</v>
      </c>
      <c r="AB4" s="122">
        <v>759</v>
      </c>
      <c r="AC4" s="121">
        <f aca="true" t="shared" si="0" ref="AC4:AC10">IF(AND(AB4=0,AB4=0),0,IF(OR(AND(AB4&gt;0,AA4&lt;=0),AND(AB4&lt;0,AA4&gt;=0)),"nm",IF(AND(AB4&lt;0,AA4&lt;0),IF(-(AB4/AA4-1)*100&lt;-100,"(&gt;100)",-(AB4/AA4-1)*100),IF((AB4/AA4-1)*100&gt;100,"&gt;100",(AB4/AA4-1)*100))))</f>
        <v>2.2911051212938016</v>
      </c>
      <c r="AD4" s="121">
        <f aca="true" t="shared" si="1" ref="AD4:AD10">IF(AND(AB4=0,X4=0),0,IF(OR(AND(AB4&gt;0,X4&lt;=0),AND(AB4&lt;0,X4&gt;=0)),"nm",IF(AND(AB4&lt;0,X4&lt;0),IF(-(AB4/X4-1)*100&lt;-100,"(&gt;100)",-(AB4/X4-1)*100),IF((AB4/X4-1)*100&gt;100,"&gt;100",(AB4/X4-1)*100))))</f>
        <v>8.89526542324246</v>
      </c>
      <c r="AF4" s="121">
        <v>2079</v>
      </c>
      <c r="AG4" s="122">
        <v>2219</v>
      </c>
      <c r="AH4" s="121">
        <f>IF(AND(AG4=0,AF4=0),0,IF(OR(AND(AG4&gt;0,AF4&lt;=0),AND(AG4&lt;0,AF4&gt;=0)),"nm",IF(AND(AG4&lt;0,AF4&lt;0),IF(-(AG4/AF4-1)*100&lt;-100,"(&gt;100)",-(AG4/AF4-1)*100),IF((AG4/AF4-1)*100&gt;100,"&gt;100",(AG4/AF4-1)*100))))</f>
        <v>6.734006734006726</v>
      </c>
      <c r="AI4" s="121">
        <f>SUM(V4:W4)</f>
        <v>1382</v>
      </c>
      <c r="AJ4" s="122">
        <f>SUM(Z4:AA4)</f>
        <v>1460</v>
      </c>
      <c r="AK4" s="121">
        <f>IF(AND(AJ4=0,AI4=0),0,IF(OR(AND(AJ4&gt;0,AI4&lt;=0),AND(AJ4&lt;0,AI4&gt;=0)),"nm",IF(AND(AJ4&lt;0,AI4&lt;0),IF(-(AJ4/AI4-1)*100&lt;-100,"(&gt;100)",-(AJ4/AI4-1)*100),IF((AJ4/AI4-1)*100&gt;100,"&gt;100",(AJ4/AI4-1)*100))))</f>
        <v>5.643994211287984</v>
      </c>
    </row>
    <row r="5" spans="2:37" ht="14.25">
      <c r="B5" s="101" t="s">
        <v>25</v>
      </c>
      <c r="C5" s="20"/>
      <c r="D5" s="121">
        <v>1241</v>
      </c>
      <c r="E5" s="121">
        <v>1328</v>
      </c>
      <c r="F5" s="121">
        <v>1518</v>
      </c>
      <c r="G5" s="121">
        <v>1693</v>
      </c>
      <c r="H5" s="121">
        <v>1545</v>
      </c>
      <c r="I5" s="160"/>
      <c r="J5" s="121">
        <v>335</v>
      </c>
      <c r="K5" s="121">
        <v>348</v>
      </c>
      <c r="L5" s="121">
        <v>321</v>
      </c>
      <c r="M5" s="121">
        <v>323</v>
      </c>
      <c r="N5" s="121">
        <v>330</v>
      </c>
      <c r="O5" s="121">
        <v>417</v>
      </c>
      <c r="P5" s="121">
        <v>399</v>
      </c>
      <c r="Q5" s="121">
        <v>372</v>
      </c>
      <c r="R5" s="121">
        <v>468</v>
      </c>
      <c r="S5" s="121">
        <v>435</v>
      </c>
      <c r="T5" s="121">
        <v>469</v>
      </c>
      <c r="U5" s="121">
        <v>321</v>
      </c>
      <c r="V5" s="121">
        <v>384</v>
      </c>
      <c r="W5" s="422">
        <v>367</v>
      </c>
      <c r="X5" s="422">
        <v>378</v>
      </c>
      <c r="Y5" s="121">
        <v>276</v>
      </c>
      <c r="Z5" s="121">
        <v>484</v>
      </c>
      <c r="AA5" s="121">
        <v>440</v>
      </c>
      <c r="AB5" s="122">
        <v>387</v>
      </c>
      <c r="AC5" s="121">
        <f t="shared" si="0"/>
        <v>-12.045454545454549</v>
      </c>
      <c r="AD5" s="121">
        <f t="shared" si="1"/>
        <v>2.3809523809523725</v>
      </c>
      <c r="AF5" s="121">
        <v>1129</v>
      </c>
      <c r="AG5" s="122">
        <v>1311</v>
      </c>
      <c r="AH5" s="121">
        <f>IF(AND(AG5=0,AF5=0),0,IF(OR(AND(AG5&gt;0,AF5&lt;=0),AND(AG5&lt;0,AF5&gt;=0)),"nm",IF(AND(AG5&lt;0,AF5&lt;0),IF(-(AG5/AF5-1)*100&lt;-100,"(&gt;100)",-(AG5/AF5-1)*100),IF((AG5/AF5-1)*100&gt;100,"&gt;100",(AG5/AF5-1)*100))))</f>
        <v>16.120460584588137</v>
      </c>
      <c r="AI5" s="121">
        <f aca="true" t="shared" si="2" ref="AI5:AI10">SUM(V5:W5)</f>
        <v>751</v>
      </c>
      <c r="AJ5" s="122">
        <f aca="true" t="shared" si="3" ref="AJ5:AJ10">SUM(Z5:AA5)</f>
        <v>924</v>
      </c>
      <c r="AK5" s="121">
        <f aca="true" t="shared" si="4" ref="AK5:AK12">IF(AND(AJ5=0,AI5=0),0,IF(OR(AND(AJ5&gt;0,AI5&lt;=0),AND(AJ5&lt;0,AI5&gt;=0)),"nm",IF(AND(AJ5&lt;0,AI5&lt;0),IF(-(AJ5/AI5-1)*100&lt;-100,"(&gt;100)",-(AJ5/AI5-1)*100),IF((AJ5/AI5-1)*100&gt;100,"&gt;100",(AJ5/AI5-1)*100))))</f>
        <v>23.035952063914777</v>
      </c>
    </row>
    <row r="6" spans="2:37" ht="14.25">
      <c r="B6" s="101" t="s">
        <v>6</v>
      </c>
      <c r="C6" s="20"/>
      <c r="D6" s="121">
        <v>2651</v>
      </c>
      <c r="E6" s="121">
        <v>3172</v>
      </c>
      <c r="F6" s="121">
        <v>3513</v>
      </c>
      <c r="G6" s="121">
        <v>4010</v>
      </c>
      <c r="H6" s="121">
        <v>4312</v>
      </c>
      <c r="I6" s="160"/>
      <c r="J6" s="121">
        <f aca="true" t="shared" si="5" ref="J6:O6">J4+J5</f>
        <v>762</v>
      </c>
      <c r="K6" s="121">
        <f t="shared" si="5"/>
        <v>798</v>
      </c>
      <c r="L6" s="121">
        <f t="shared" si="5"/>
        <v>807</v>
      </c>
      <c r="M6" s="121">
        <f t="shared" si="5"/>
        <v>804</v>
      </c>
      <c r="N6" s="121">
        <f t="shared" si="5"/>
        <v>804</v>
      </c>
      <c r="O6" s="121">
        <f t="shared" si="5"/>
        <v>920</v>
      </c>
      <c r="P6" s="121">
        <v>904</v>
      </c>
      <c r="Q6" s="121">
        <v>885</v>
      </c>
      <c r="R6" s="121">
        <v>987</v>
      </c>
      <c r="S6" s="121">
        <v>987</v>
      </c>
      <c r="T6" s="121">
        <v>1058</v>
      </c>
      <c r="U6" s="121">
        <v>978</v>
      </c>
      <c r="V6" s="121">
        <v>1058</v>
      </c>
      <c r="W6" s="422">
        <v>1075</v>
      </c>
      <c r="X6" s="422">
        <v>1075</v>
      </c>
      <c r="Y6" s="121">
        <v>944</v>
      </c>
      <c r="Z6" s="121">
        <v>1202</v>
      </c>
      <c r="AA6" s="121">
        <v>1182</v>
      </c>
      <c r="AB6" s="122">
        <v>1146</v>
      </c>
      <c r="AC6" s="121">
        <f t="shared" si="0"/>
        <v>-3.0456852791878153</v>
      </c>
      <c r="AD6" s="121">
        <f t="shared" si="1"/>
        <v>6.604651162790698</v>
      </c>
      <c r="AF6" s="121">
        <v>3208</v>
      </c>
      <c r="AG6" s="122">
        <f>AG4+AG5</f>
        <v>3530</v>
      </c>
      <c r="AH6" s="121">
        <f aca="true" t="shared" si="6" ref="AH6:AH12">IF(AND(AG6=0,AF6=0),0,IF(OR(AND(AG6&gt;0,AF6&lt;=0),AND(AG6&lt;0,AF6&gt;=0)),"nm",IF(AND(AG6&lt;0,AF6&lt;0),IF(-(AG6/AF6-1)*100&lt;-100,"(&gt;100)",-(AG6/AF6-1)*100),IF((AG6/AF6-1)*100&gt;100,"&gt;100",(AG6/AF6-1)*100))))</f>
        <v>10.037406483790523</v>
      </c>
      <c r="AI6" s="121">
        <f t="shared" si="2"/>
        <v>2133</v>
      </c>
      <c r="AJ6" s="122">
        <f t="shared" si="3"/>
        <v>2384</v>
      </c>
      <c r="AK6" s="121">
        <f t="shared" si="4"/>
        <v>11.767463666197852</v>
      </c>
    </row>
    <row r="7" spans="2:37" ht="14.25">
      <c r="B7" s="101" t="s">
        <v>0</v>
      </c>
      <c r="C7" s="20"/>
      <c r="D7" s="121">
        <v>951</v>
      </c>
      <c r="E7" s="121">
        <v>964</v>
      </c>
      <c r="F7" s="121">
        <v>1119</v>
      </c>
      <c r="G7" s="121">
        <v>1319</v>
      </c>
      <c r="H7" s="121">
        <v>1416</v>
      </c>
      <c r="I7" s="160"/>
      <c r="J7" s="121">
        <v>218</v>
      </c>
      <c r="K7" s="121">
        <v>244</v>
      </c>
      <c r="L7" s="121">
        <v>233</v>
      </c>
      <c r="M7" s="121">
        <v>269</v>
      </c>
      <c r="N7" s="121">
        <v>247</v>
      </c>
      <c r="O7" s="121">
        <v>259</v>
      </c>
      <c r="P7" s="121">
        <v>282</v>
      </c>
      <c r="Q7" s="121">
        <v>331</v>
      </c>
      <c r="R7" s="121">
        <v>294</v>
      </c>
      <c r="S7" s="121">
        <v>318</v>
      </c>
      <c r="T7" s="121">
        <v>331</v>
      </c>
      <c r="U7" s="121">
        <v>376</v>
      </c>
      <c r="V7" s="121">
        <v>283</v>
      </c>
      <c r="W7" s="422">
        <v>306</v>
      </c>
      <c r="X7" s="422">
        <v>318</v>
      </c>
      <c r="Y7" s="121">
        <v>362</v>
      </c>
      <c r="Z7" s="121">
        <v>319</v>
      </c>
      <c r="AA7" s="121">
        <v>346</v>
      </c>
      <c r="AB7" s="122">
        <v>345</v>
      </c>
      <c r="AC7" s="121">
        <f t="shared" si="0"/>
        <v>-0.28901734104046506</v>
      </c>
      <c r="AD7" s="121">
        <f t="shared" si="1"/>
        <v>8.490566037735858</v>
      </c>
      <c r="AF7" s="121">
        <v>907</v>
      </c>
      <c r="AG7" s="122">
        <v>1010</v>
      </c>
      <c r="AH7" s="121">
        <f t="shared" si="6"/>
        <v>11.356119073869909</v>
      </c>
      <c r="AI7" s="121">
        <f>SUM(V7:W7)</f>
        <v>589</v>
      </c>
      <c r="AJ7" s="122">
        <f t="shared" si="3"/>
        <v>665</v>
      </c>
      <c r="AK7" s="121">
        <f t="shared" si="4"/>
        <v>12.903225806451623</v>
      </c>
    </row>
    <row r="8" spans="2:37" ht="14.25">
      <c r="B8" s="101" t="s">
        <v>8</v>
      </c>
      <c r="C8" s="20"/>
      <c r="D8" s="121">
        <v>476</v>
      </c>
      <c r="E8" s="121">
        <v>1118</v>
      </c>
      <c r="F8" s="121">
        <v>812</v>
      </c>
      <c r="G8" s="121">
        <v>453</v>
      </c>
      <c r="H8" s="121">
        <v>212</v>
      </c>
      <c r="I8" s="160"/>
      <c r="J8" s="121">
        <v>211</v>
      </c>
      <c r="K8" s="121">
        <v>245</v>
      </c>
      <c r="L8" s="121">
        <v>245</v>
      </c>
      <c r="M8" s="121">
        <v>417</v>
      </c>
      <c r="N8" s="121">
        <v>328</v>
      </c>
      <c r="O8" s="121">
        <v>175</v>
      </c>
      <c r="P8" s="121">
        <v>149</v>
      </c>
      <c r="Q8" s="121">
        <v>160</v>
      </c>
      <c r="R8" s="121">
        <v>56</v>
      </c>
      <c r="S8" s="121">
        <v>72</v>
      </c>
      <c r="T8" s="121">
        <v>140</v>
      </c>
      <c r="U8" s="121">
        <v>185</v>
      </c>
      <c r="V8" s="121">
        <v>73</v>
      </c>
      <c r="W8" s="422">
        <v>72</v>
      </c>
      <c r="X8" s="422">
        <v>-18</v>
      </c>
      <c r="Y8" s="121">
        <v>88</v>
      </c>
      <c r="Z8" s="121">
        <v>173</v>
      </c>
      <c r="AA8" s="121">
        <v>193</v>
      </c>
      <c r="AB8" s="122">
        <v>73</v>
      </c>
      <c r="AC8" s="121">
        <f t="shared" si="0"/>
        <v>-62.17616580310881</v>
      </c>
      <c r="AD8" s="121" t="str">
        <f t="shared" si="1"/>
        <v>nm</v>
      </c>
      <c r="AF8" s="121">
        <v>127</v>
      </c>
      <c r="AG8" s="122">
        <v>439</v>
      </c>
      <c r="AH8" s="121" t="str">
        <f t="shared" si="6"/>
        <v>&gt;100</v>
      </c>
      <c r="AI8" s="121">
        <f t="shared" si="2"/>
        <v>145</v>
      </c>
      <c r="AJ8" s="122">
        <f t="shared" si="3"/>
        <v>366</v>
      </c>
      <c r="AK8" s="121" t="str">
        <f t="shared" si="4"/>
        <v>&gt;100</v>
      </c>
    </row>
    <row r="9" spans="2:37" ht="14.25">
      <c r="B9" s="102" t="s">
        <v>67</v>
      </c>
      <c r="C9" s="20"/>
      <c r="D9" s="121">
        <v>19</v>
      </c>
      <c r="E9" s="121">
        <v>28</v>
      </c>
      <c r="F9" s="121">
        <v>25</v>
      </c>
      <c r="G9" s="121">
        <v>21</v>
      </c>
      <c r="H9" s="121">
        <v>6</v>
      </c>
      <c r="I9" s="160"/>
      <c r="J9" s="121">
        <v>5</v>
      </c>
      <c r="K9" s="121">
        <v>6</v>
      </c>
      <c r="L9" s="121">
        <v>8</v>
      </c>
      <c r="M9" s="121">
        <v>9</v>
      </c>
      <c r="N9" s="121">
        <v>6</v>
      </c>
      <c r="O9" s="121">
        <v>8</v>
      </c>
      <c r="P9" s="121">
        <v>6</v>
      </c>
      <c r="Q9" s="121">
        <v>5</v>
      </c>
      <c r="R9" s="121">
        <v>7</v>
      </c>
      <c r="S9" s="121">
        <v>7</v>
      </c>
      <c r="T9" s="121">
        <v>6</v>
      </c>
      <c r="U9" s="121">
        <v>1</v>
      </c>
      <c r="V9" s="121">
        <v>0</v>
      </c>
      <c r="W9" s="422">
        <v>0</v>
      </c>
      <c r="X9" s="422">
        <v>0</v>
      </c>
      <c r="Y9" s="121">
        <v>0</v>
      </c>
      <c r="Z9" s="121">
        <v>0</v>
      </c>
      <c r="AA9" s="121">
        <v>0</v>
      </c>
      <c r="AB9" s="122">
        <v>0</v>
      </c>
      <c r="AC9" s="121">
        <f t="shared" si="0"/>
        <v>0</v>
      </c>
      <c r="AD9" s="121">
        <f t="shared" si="1"/>
        <v>0</v>
      </c>
      <c r="AF9" s="121">
        <v>0</v>
      </c>
      <c r="AG9" s="122">
        <v>0</v>
      </c>
      <c r="AH9" s="121">
        <f t="shared" si="6"/>
        <v>0</v>
      </c>
      <c r="AI9" s="121">
        <f t="shared" si="2"/>
        <v>0</v>
      </c>
      <c r="AJ9" s="122">
        <f t="shared" si="3"/>
        <v>0</v>
      </c>
      <c r="AK9" s="121">
        <f t="shared" si="4"/>
        <v>0</v>
      </c>
    </row>
    <row r="10" spans="2:37" ht="14.25">
      <c r="B10" s="102" t="s">
        <v>9</v>
      </c>
      <c r="C10" s="20"/>
      <c r="D10" s="121">
        <v>1243</v>
      </c>
      <c r="E10" s="121">
        <v>1118</v>
      </c>
      <c r="F10" s="121">
        <v>1607</v>
      </c>
      <c r="G10" s="121">
        <v>2259</v>
      </c>
      <c r="H10" s="121">
        <v>2690</v>
      </c>
      <c r="I10" s="160"/>
      <c r="J10" s="121">
        <f aca="true" t="shared" si="7" ref="J10:O10">J6-J7-J8+J9</f>
        <v>338</v>
      </c>
      <c r="K10" s="121">
        <f t="shared" si="7"/>
        <v>315</v>
      </c>
      <c r="L10" s="121">
        <f t="shared" si="7"/>
        <v>337</v>
      </c>
      <c r="M10" s="121">
        <f t="shared" si="7"/>
        <v>127</v>
      </c>
      <c r="N10" s="121">
        <f t="shared" si="7"/>
        <v>235</v>
      </c>
      <c r="O10" s="121">
        <f t="shared" si="7"/>
        <v>494</v>
      </c>
      <c r="P10" s="121">
        <v>479</v>
      </c>
      <c r="Q10" s="121">
        <v>399</v>
      </c>
      <c r="R10" s="121">
        <v>644</v>
      </c>
      <c r="S10" s="121">
        <v>604</v>
      </c>
      <c r="T10" s="121">
        <v>593</v>
      </c>
      <c r="U10" s="121">
        <v>418</v>
      </c>
      <c r="V10" s="121">
        <v>702</v>
      </c>
      <c r="W10" s="422">
        <v>697</v>
      </c>
      <c r="X10" s="422">
        <v>775</v>
      </c>
      <c r="Y10" s="121">
        <v>494</v>
      </c>
      <c r="Z10" s="121">
        <v>710</v>
      </c>
      <c r="AA10" s="121">
        <v>643</v>
      </c>
      <c r="AB10" s="122">
        <v>728</v>
      </c>
      <c r="AC10" s="121">
        <f t="shared" si="0"/>
        <v>13.219284603421455</v>
      </c>
      <c r="AD10" s="121">
        <f t="shared" si="1"/>
        <v>-6.06451612903226</v>
      </c>
      <c r="AF10" s="121">
        <v>2174</v>
      </c>
      <c r="AG10" s="122">
        <f>AG6-AG7-AG8+AG9</f>
        <v>2081</v>
      </c>
      <c r="AH10" s="121">
        <f>IF(AND(AG10=0,AF10=0),0,IF(OR(AND(AG10&gt;0,AF10&lt;=0),AND(AG10&lt;0,AF10&gt;=0)),"nm",IF(AND(AG10&lt;0,AF10&lt;0),IF(-(AG10/AF10-1)*100&lt;-100,"(&gt;100)",-(AG10/AF10-1)*100),IF((AG10/AF10-1)*100&gt;100,"&gt;100",(AG10/AF10-1)*100))))</f>
        <v>-4.277828886844526</v>
      </c>
      <c r="AI10" s="121">
        <f t="shared" si="2"/>
        <v>1399</v>
      </c>
      <c r="AJ10" s="122">
        <f t="shared" si="3"/>
        <v>1353</v>
      </c>
      <c r="AK10" s="121">
        <f>IF(AND(AJ10=0,AI10=0),0,IF(OR(AND(AJ10&gt;0,AI10&lt;=0),AND(AJ10&lt;0,AI10&gt;=0)),"nm",IF(AND(AJ10&lt;0,AI10&lt;0),IF(-(AJ10/AI10-1)*100&lt;-100,"(&gt;100)",-(AJ10/AI10-1)*100),IF((AJ10/AI10-1)*100&gt;100,"&gt;100",(AJ10/AI10-1)*100))))</f>
        <v>-3.288062902072908</v>
      </c>
    </row>
    <row r="11" spans="2:37" ht="14.25" hidden="1">
      <c r="B11" s="102" t="s">
        <v>68</v>
      </c>
      <c r="C11" s="20"/>
      <c r="D11" s="121">
        <v>248</v>
      </c>
      <c r="E11" s="121">
        <v>197</v>
      </c>
      <c r="F11" s="121">
        <v>274</v>
      </c>
      <c r="H11" s="165"/>
      <c r="I11" s="160"/>
      <c r="J11" s="121">
        <v>79</v>
      </c>
      <c r="K11" s="121">
        <v>59</v>
      </c>
      <c r="L11" s="121">
        <v>68</v>
      </c>
      <c r="M11" s="121">
        <v>-9</v>
      </c>
      <c r="N11" s="121">
        <v>28</v>
      </c>
      <c r="O11" s="121">
        <v>100</v>
      </c>
      <c r="P11" s="121">
        <v>78</v>
      </c>
      <c r="Q11" s="121">
        <v>68</v>
      </c>
      <c r="R11" s="121">
        <v>116</v>
      </c>
      <c r="Z11" s="436"/>
      <c r="AA11" s="165"/>
      <c r="AB11" s="489"/>
      <c r="AC11" s="121">
        <f>IF(AND(Z11=0,R11=0),0,IF(OR(AND(Z11&gt;0,R11&lt;=0),AND(Z11&lt;0,R11&gt;=0)),"nm",IF(AND(Z11&lt;0,R11&lt;0),IF(-(Z11/R11-1)*100&lt;-100,"(&gt;100)",-(Z11/R11-1)*100),IF((Z11/R11-1)*100&gt;100,"&gt;100",(Z11/R11-1)*100))))</f>
        <v>-100</v>
      </c>
      <c r="AD11" s="121">
        <f>IF(AND(Z11=0,O11=0),0,IF(OR(AND(Z11&gt;0,O11&lt;=0),AND(Z11&lt;0,O11&gt;=0)),"nm",IF(AND(Z11&lt;0,O11&lt;0),IF(-(Z11/O11-1)*100&lt;-100,"(&gt;100)",-(Z11/O11-1)*100),IF((Z11/O11-1)*100&gt;100,"&gt;100",(Z11/O11-1)*100))))</f>
        <v>-100</v>
      </c>
      <c r="AG11" s="489"/>
      <c r="AH11" s="121">
        <f t="shared" si="6"/>
        <v>0</v>
      </c>
      <c r="AJ11" s="461"/>
      <c r="AK11" s="121">
        <f t="shared" si="4"/>
        <v>0</v>
      </c>
    </row>
    <row r="12" spans="2:37" ht="14.25" hidden="1">
      <c r="B12" s="102" t="s">
        <v>53</v>
      </c>
      <c r="C12" s="20"/>
      <c r="D12" s="121">
        <v>989</v>
      </c>
      <c r="E12" s="121">
        <v>974</v>
      </c>
      <c r="F12" s="121">
        <v>1360</v>
      </c>
      <c r="H12" s="165"/>
      <c r="I12" s="160"/>
      <c r="J12" s="121">
        <v>261</v>
      </c>
      <c r="K12" s="121">
        <v>265</v>
      </c>
      <c r="L12" s="121">
        <v>301</v>
      </c>
      <c r="M12" s="121">
        <v>146</v>
      </c>
      <c r="N12" s="121">
        <v>208</v>
      </c>
      <c r="O12" s="121">
        <v>401</v>
      </c>
      <c r="P12" s="121">
        <v>410</v>
      </c>
      <c r="Q12" s="121">
        <v>341</v>
      </c>
      <c r="R12" s="121">
        <v>523</v>
      </c>
      <c r="Z12" s="436"/>
      <c r="AA12" s="165"/>
      <c r="AB12" s="489"/>
      <c r="AC12" s="121">
        <f>IF(AND(Z12=0,R12=0),0,IF(OR(AND(Z12&gt;0,R12&lt;=0),AND(Z12&lt;0,R12&gt;=0)),"nm",IF(AND(Z12&lt;0,R12&lt;0),IF(-(Z12/R12-1)*100&lt;-100,"(&gt;100)",-(Z12/R12-1)*100),IF((Z12/R12-1)*100&gt;100,"&gt;100",(Z12/R12-1)*100))))</f>
        <v>-100</v>
      </c>
      <c r="AD12" s="121">
        <f>IF(AND(Z12=0,O12=0),0,IF(OR(AND(Z12&gt;0,O12&lt;=0),AND(Z12&lt;0,O12&gt;=0)),"nm",IF(AND(Z12&lt;0,O12&lt;0),IF(-(Z12/O12-1)*100&lt;-100,"(&gt;100)",-(Z12/O12-1)*100),IF((Z12/O12-1)*100&gt;100,"&gt;100",(Z12/O12-1)*100))))</f>
        <v>-100</v>
      </c>
      <c r="AG12" s="489"/>
      <c r="AH12" s="121">
        <f t="shared" si="6"/>
        <v>0</v>
      </c>
      <c r="AJ12" s="461"/>
      <c r="AK12" s="121">
        <f t="shared" si="4"/>
        <v>0</v>
      </c>
    </row>
    <row r="13" spans="3:36" ht="14.25">
      <c r="C13" s="20"/>
      <c r="D13" s="121"/>
      <c r="N13" s="171"/>
      <c r="O13" s="171"/>
      <c r="P13" s="171"/>
      <c r="Q13" s="171"/>
      <c r="R13" s="171"/>
      <c r="S13" s="171"/>
      <c r="T13" s="171"/>
      <c r="U13" s="171"/>
      <c r="V13" s="171"/>
      <c r="W13" s="171"/>
      <c r="X13" s="171"/>
      <c r="Y13" s="171"/>
      <c r="Z13" s="436"/>
      <c r="AA13" s="165"/>
      <c r="AB13" s="489"/>
      <c r="AF13" s="165"/>
      <c r="AG13" s="489"/>
      <c r="AI13" s="165"/>
      <c r="AJ13" s="461"/>
    </row>
    <row r="14" spans="1:37" s="24" customFormat="1" ht="14.25" customHeight="1">
      <c r="A14" s="88" t="s">
        <v>108</v>
      </c>
      <c r="B14" s="31"/>
      <c r="D14" s="17"/>
      <c r="E14" s="17"/>
      <c r="F14" s="17"/>
      <c r="G14" s="17"/>
      <c r="H14" s="17"/>
      <c r="I14" s="17"/>
      <c r="J14" s="17"/>
      <c r="K14" s="17"/>
      <c r="L14" s="17"/>
      <c r="M14" s="17"/>
      <c r="N14" s="170"/>
      <c r="O14" s="170"/>
      <c r="P14" s="170"/>
      <c r="Q14" s="170"/>
      <c r="R14" s="170"/>
      <c r="S14" s="170"/>
      <c r="T14" s="170"/>
      <c r="U14" s="170"/>
      <c r="V14" s="170"/>
      <c r="W14" s="170"/>
      <c r="X14" s="170"/>
      <c r="Y14" s="170"/>
      <c r="Z14" s="17"/>
      <c r="AA14" s="17"/>
      <c r="AB14" s="498"/>
      <c r="AC14" s="17"/>
      <c r="AD14" s="17"/>
      <c r="AE14" s="17"/>
      <c r="AF14" s="169"/>
      <c r="AG14" s="498"/>
      <c r="AH14" s="17"/>
      <c r="AI14" s="169"/>
      <c r="AJ14" s="125"/>
      <c r="AK14" s="17"/>
    </row>
    <row r="15" spans="2:37" ht="14.25">
      <c r="B15" s="101" t="s">
        <v>72</v>
      </c>
      <c r="C15" s="20"/>
      <c r="D15" s="121">
        <v>100029</v>
      </c>
      <c r="E15" s="121">
        <v>100649</v>
      </c>
      <c r="F15" s="121">
        <v>118572</v>
      </c>
      <c r="G15" s="121">
        <v>165930</v>
      </c>
      <c r="H15" s="121">
        <v>177073</v>
      </c>
      <c r="J15" s="121">
        <v>103804</v>
      </c>
      <c r="K15" s="121">
        <v>101200</v>
      </c>
      <c r="L15" s="121">
        <v>100458</v>
      </c>
      <c r="M15" s="121">
        <v>100649</v>
      </c>
      <c r="N15" s="75">
        <v>100758</v>
      </c>
      <c r="O15" s="75">
        <v>113994</v>
      </c>
      <c r="P15" s="75">
        <v>115390</v>
      </c>
      <c r="Q15" s="75">
        <v>118572</v>
      </c>
      <c r="R15" s="75">
        <v>125510</v>
      </c>
      <c r="S15" s="75">
        <v>135095</v>
      </c>
      <c r="T15" s="75">
        <v>157624</v>
      </c>
      <c r="U15" s="75">
        <v>165930</v>
      </c>
      <c r="V15" s="426">
        <f>167830-2108</f>
        <v>165722</v>
      </c>
      <c r="W15" s="426">
        <f>174281-1929</f>
        <v>172352</v>
      </c>
      <c r="X15" s="426">
        <f>171728-2158</f>
        <v>169570</v>
      </c>
      <c r="Y15" s="426">
        <f>177073-1744</f>
        <v>175329</v>
      </c>
      <c r="Z15" s="121">
        <v>189044</v>
      </c>
      <c r="AA15" s="121">
        <v>198432</v>
      </c>
      <c r="AB15" s="122">
        <f>AG15</f>
        <v>202892</v>
      </c>
      <c r="AC15" s="121">
        <f>IF(AND(AB15=0,AB15=0),0,IF(OR(AND(AB15&gt;0,AA15&lt;=0),AND(AB15&lt;0,AA15&gt;=0)),"nm",IF(AND(AB15&lt;0,AA15&lt;0),IF(-(AB15/AA15-1)*100&lt;-100,"(&gt;100)",-(AB15/AA15-1)*100),IF((AB15/AA15-1)*100&gt;100,"&gt;100",(AB15/AA15-1)*100))))</f>
        <v>2.247621351394935</v>
      </c>
      <c r="AD15" s="121">
        <f>IF(AND(AB15=0,X15=0),0,IF(OR(AND(AB15&gt;0,X15&lt;=0),AND(AB15&lt;0,X15&gt;=0)),"nm",IF(AND(AB15&lt;0,X15&lt;0),IF(-(AB15/X15-1)*100&lt;-100,"(&gt;100)",-(AB15/X15-1)*100),IF((AB15/X15-1)*100&gt;100,"&gt;100",(AB15/X15-1)*100))))</f>
        <v>19.650881641799845</v>
      </c>
      <c r="AF15" s="121">
        <v>171728</v>
      </c>
      <c r="AG15" s="122">
        <v>202892</v>
      </c>
      <c r="AH15" s="121">
        <f>IF(AND(AG15=0,AF15=0),0,IF(OR(AND(AG15&gt;0,AF15&lt;=0),AND(AG15&lt;0,AF15&gt;=0)),"nm",IF(AND(AG15&lt;0,AF15&lt;0),IF(-(AG15/AF15-1)*100&lt;-100,"(&gt;100)",-(AG15/AF15-1)*100),IF((AG15/AF15-1)*100&gt;100,"&gt;100",(AG15/AF15-1)*100))))</f>
        <v>18.147302711264324</v>
      </c>
      <c r="AI15" s="121">
        <f>W15</f>
        <v>172352</v>
      </c>
      <c r="AJ15" s="122">
        <f>AA15</f>
        <v>198432</v>
      </c>
      <c r="AK15" s="121">
        <f>IF(AND(AJ15=0,AI15=0),0,IF(OR(AND(AJ15&gt;0,AI15&lt;=0),AND(AJ15&lt;0,AI15&gt;=0)),"nm",IF(AND(AJ15&lt;0,AI15&lt;0),IF(-(AJ15/AI15-1)*100&lt;-100,"(&gt;100)",-(AJ15/AI15-1)*100),IF((AJ15/AI15-1)*100&gt;100,"&gt;100",(AJ15/AI15-1)*100))))</f>
        <v>15.13182324545117</v>
      </c>
    </row>
    <row r="16" spans="2:37" ht="14.25">
      <c r="B16" s="101" t="s">
        <v>11</v>
      </c>
      <c r="C16" s="20"/>
      <c r="D16" s="121">
        <v>61671</v>
      </c>
      <c r="E16" s="121">
        <v>69084</v>
      </c>
      <c r="F16" s="121">
        <v>80559</v>
      </c>
      <c r="G16" s="121">
        <v>103977</v>
      </c>
      <c r="H16" s="121">
        <v>103450</v>
      </c>
      <c r="J16" s="121">
        <v>63846</v>
      </c>
      <c r="K16" s="121">
        <v>60919</v>
      </c>
      <c r="L16" s="121">
        <v>69428</v>
      </c>
      <c r="M16" s="121">
        <v>69084</v>
      </c>
      <c r="N16" s="75">
        <v>64087</v>
      </c>
      <c r="O16" s="75">
        <v>68520</v>
      </c>
      <c r="P16" s="75">
        <v>74842</v>
      </c>
      <c r="Q16" s="75">
        <v>80559</v>
      </c>
      <c r="R16" s="75">
        <v>85494</v>
      </c>
      <c r="S16" s="75">
        <v>88004</v>
      </c>
      <c r="T16" s="75">
        <v>98972</v>
      </c>
      <c r="U16" s="75">
        <v>103977</v>
      </c>
      <c r="V16" s="426">
        <f>104142-2165</f>
        <v>101977</v>
      </c>
      <c r="W16" s="426">
        <f>102904-1670</f>
        <v>101234</v>
      </c>
      <c r="X16" s="426">
        <f>101222-2254</f>
        <v>98968</v>
      </c>
      <c r="Y16" s="426">
        <f>103450-1750</f>
        <v>101700</v>
      </c>
      <c r="Z16" s="121">
        <v>110875</v>
      </c>
      <c r="AA16" s="121">
        <v>121567</v>
      </c>
      <c r="AB16" s="122">
        <f>AG16</f>
        <v>127222</v>
      </c>
      <c r="AC16" s="121">
        <f>IF(AND(AB16=0,AB16=0),0,IF(OR(AND(AB16&gt;0,AA16&lt;=0),AND(AB16&lt;0,AA16&gt;=0)),"nm",IF(AND(AB16&lt;0,AA16&lt;0),IF(-(AB16/AA16-1)*100&lt;-100,"(&gt;100)",-(AB16/AA16-1)*100),IF((AB16/AA16-1)*100&gt;100,"&gt;100",(AB16/AA16-1)*100))))</f>
        <v>4.651755821892456</v>
      </c>
      <c r="AD16" s="121">
        <f>IF(AND(AB16=0,X16=0),0,IF(OR(AND(AB16&gt;0,X16&lt;=0),AND(AB16&lt;0,X16&gt;=0)),"nm",IF(AND(AB16&lt;0,X16&lt;0),IF(-(AB16/X16-1)*100&lt;-100,"(&gt;100)",-(AB16/X16-1)*100),IF((AB16/X16-1)*100&gt;100,"&gt;100",(AB16/X16-1)*100))))</f>
        <v>28.548621776735917</v>
      </c>
      <c r="AF16" s="121">
        <v>101222</v>
      </c>
      <c r="AG16" s="122">
        <v>127222</v>
      </c>
      <c r="AH16" s="121">
        <f>IF(AND(AG16=0,AF16=0),0,IF(OR(AND(AG16&gt;0,AF16&lt;=0),AND(AG16&lt;0,AF16&gt;=0)),"nm",IF(AND(AG16&lt;0,AF16&lt;0),IF(-(AG16/AF16-1)*100&lt;-100,"(&gt;100)",-(AG16/AF16-1)*100),IF((AG16/AF16-1)*100&gt;100,"&gt;100",(AG16/AF16-1)*100))))</f>
        <v>25.6861156665547</v>
      </c>
      <c r="AI16" s="121">
        <f>W16</f>
        <v>101234</v>
      </c>
      <c r="AJ16" s="122">
        <f>AA16</f>
        <v>121567</v>
      </c>
      <c r="AK16" s="121">
        <f>IF(AND(AJ16=0,AI16=0),0,IF(OR(AND(AJ16&gt;0,AI16&lt;=0),AND(AJ16&lt;0,AI16&gt;=0)),"nm",IF(AND(AJ16&lt;0,AI16&lt;0),IF(-(AJ16/AI16-1)*100&lt;-100,"(&gt;100)",-(AJ16/AI16-1)*100),IF((AJ16/AI16-1)*100&gt;100,"&gt;100",(AJ16/AI16-1)*100))))</f>
        <v>20.085149258154367</v>
      </c>
    </row>
    <row r="17" spans="2:37" ht="14.25">
      <c r="B17" s="101" t="s">
        <v>69</v>
      </c>
      <c r="C17" s="20"/>
      <c r="D17" s="121">
        <v>27</v>
      </c>
      <c r="E17" s="121">
        <v>22</v>
      </c>
      <c r="F17" s="121">
        <v>27</v>
      </c>
      <c r="G17" s="121">
        <v>29</v>
      </c>
      <c r="H17" s="121">
        <v>29</v>
      </c>
      <c r="J17" s="121">
        <v>5</v>
      </c>
      <c r="K17" s="121">
        <v>6</v>
      </c>
      <c r="L17" s="121">
        <v>6</v>
      </c>
      <c r="M17" s="121">
        <v>5</v>
      </c>
      <c r="N17" s="75">
        <v>6</v>
      </c>
      <c r="O17" s="75">
        <v>3</v>
      </c>
      <c r="P17" s="75">
        <v>2</v>
      </c>
      <c r="Q17" s="75">
        <v>16</v>
      </c>
      <c r="R17" s="75">
        <v>4</v>
      </c>
      <c r="S17" s="75">
        <v>12</v>
      </c>
      <c r="T17" s="75">
        <v>4</v>
      </c>
      <c r="U17" s="75">
        <v>9</v>
      </c>
      <c r="V17" s="75">
        <v>0</v>
      </c>
      <c r="W17" s="426">
        <f>4-1</f>
        <v>3</v>
      </c>
      <c r="X17" s="426">
        <f>13-5</f>
        <v>8</v>
      </c>
      <c r="Y17" s="426">
        <f>12-11</f>
        <v>1</v>
      </c>
      <c r="Z17" s="121">
        <v>2</v>
      </c>
      <c r="AA17" s="121">
        <v>9</v>
      </c>
      <c r="AB17" s="122">
        <v>8</v>
      </c>
      <c r="AC17" s="121">
        <f>IF(AND(AB17=0,AB17=0),0,IF(OR(AND(AB17&gt;0,AA17&lt;=0),AND(AB17&lt;0,AA17&gt;=0)),"nm",IF(AND(AB17&lt;0,AA17&lt;0),IF(-(AB17/AA17-1)*100&lt;-100,"(&gt;100)",-(AB17/AA17-1)*100),IF((AB17/AA17-1)*100&gt;100,"&gt;100",(AB17/AA17-1)*100))))</f>
        <v>-11.111111111111116</v>
      </c>
      <c r="AD17" s="121">
        <f>IF(AND(AB17=0,X17=0),0,IF(OR(AND(AB17&gt;0,X17&lt;=0),AND(AB17&lt;0,X17&gt;=0)),"nm",IF(AND(AB17&lt;0,X17&lt;0),IF(-(AB17/X17-1)*100&lt;-100,"(&gt;100)",-(AB17/X17-1)*100),IF((AB17/X17-1)*100&gt;100,"&gt;100",(AB17/X17-1)*100))))</f>
        <v>0</v>
      </c>
      <c r="AF17" s="121">
        <v>17</v>
      </c>
      <c r="AG17" s="122">
        <f>Z17+AA17+AB17</f>
        <v>19</v>
      </c>
      <c r="AH17" s="121">
        <f>IF(AND(AG17=0,AF17=0),0,IF(OR(AND(AG17&gt;0,AF17&lt;=0),AND(AG17&lt;0,AF17&gt;=0)),"nm",IF(AND(AG17&lt;0,AF17&lt;0),IF(-(AG17/AF17-1)*100&lt;-100,"(&gt;100)",-(AG17/AF17-1)*100),IF((AG17/AF17-1)*100&gt;100,"&gt;100",(AG17/AF17-1)*100))))</f>
        <v>11.764705882352944</v>
      </c>
      <c r="AI17" s="121">
        <f>V17+W17</f>
        <v>3</v>
      </c>
      <c r="AJ17" s="122">
        <f>Z17+AA17</f>
        <v>11</v>
      </c>
      <c r="AK17" s="121" t="str">
        <f>IF(AND(AJ17=0,AI17=0),0,IF(OR(AND(AJ17&gt;0,AI17&lt;=0),AND(AJ17&lt;0,AI17&gt;=0)),"nm",IF(AND(AJ17&lt;0,AI17&lt;0),IF(-(AJ17/AI17-1)*100&lt;-100,"(&gt;100)",-(AJ17/AI17-1)*100),IF((AJ17/AI17-1)*100&gt;100,"&gt;100",(AJ17/AI17-1)*100))))</f>
        <v>&gt;100</v>
      </c>
    </row>
    <row r="18" spans="2:37" ht="14.25">
      <c r="B18" s="101" t="s">
        <v>70</v>
      </c>
      <c r="C18" s="20"/>
      <c r="D18" s="121">
        <v>17</v>
      </c>
      <c r="E18" s="121">
        <v>24</v>
      </c>
      <c r="F18" s="121">
        <v>21</v>
      </c>
      <c r="G18" s="121">
        <v>26</v>
      </c>
      <c r="H18" s="121">
        <v>18</v>
      </c>
      <c r="J18" s="121">
        <v>6</v>
      </c>
      <c r="K18" s="121">
        <v>6</v>
      </c>
      <c r="L18" s="121">
        <v>6</v>
      </c>
      <c r="M18" s="121">
        <v>6</v>
      </c>
      <c r="N18" s="75">
        <v>6</v>
      </c>
      <c r="O18" s="75">
        <v>5</v>
      </c>
      <c r="P18" s="75">
        <v>4</v>
      </c>
      <c r="Q18" s="75">
        <v>6</v>
      </c>
      <c r="R18" s="75">
        <v>6</v>
      </c>
      <c r="S18" s="75">
        <v>5</v>
      </c>
      <c r="T18" s="75">
        <v>6</v>
      </c>
      <c r="U18" s="75">
        <v>9</v>
      </c>
      <c r="V18" s="426">
        <f>4-1</f>
        <v>3</v>
      </c>
      <c r="W18" s="426">
        <f>5-1</f>
        <v>4</v>
      </c>
      <c r="X18" s="426">
        <f>4-1</f>
        <v>3</v>
      </c>
      <c r="Y18" s="426">
        <f>5-2</f>
        <v>3</v>
      </c>
      <c r="Z18" s="121">
        <v>2</v>
      </c>
      <c r="AA18" s="121">
        <v>2</v>
      </c>
      <c r="AB18" s="122">
        <v>2</v>
      </c>
      <c r="AC18" s="121">
        <f>IF(AND(AB18=0,AB18=0),0,IF(OR(AND(AB18&gt;0,AA18&lt;=0),AND(AB18&lt;0,AA18&gt;=0)),"nm",IF(AND(AB18&lt;0,AA18&lt;0),IF(-(AB18/AA18-1)*100&lt;-100,"(&gt;100)",-(AB18/AA18-1)*100),IF((AB18/AA18-1)*100&gt;100,"&gt;100",(AB18/AA18-1)*100))))</f>
        <v>0</v>
      </c>
      <c r="AD18" s="121">
        <f>IF(AND(AB18=0,X18=0),0,IF(OR(AND(AB18&gt;0,X18&lt;=0),AND(AB18&lt;0,X18&gt;=0)),"nm",IF(AND(AB18&lt;0,X18&lt;0),IF(-(AB18/X18-1)*100&lt;-100,"(&gt;100)",-(AB18/X18-1)*100),IF((AB18/X18-1)*100&gt;100,"&gt;100",(AB18/X18-1)*100))))</f>
        <v>-33.333333333333336</v>
      </c>
      <c r="AF18" s="121">
        <v>13</v>
      </c>
      <c r="AG18" s="122">
        <f>Z18+AA18+AB18</f>
        <v>6</v>
      </c>
      <c r="AH18" s="121">
        <f>IF(AND(AG18=0,AF18=0),0,IF(OR(AND(AG18&gt;0,AF18&lt;=0),AND(AG18&lt;0,AF18&gt;=0)),"nm",IF(AND(AG18&lt;0,AF18&lt;0),IF(-(AG18/AF18-1)*100&lt;-100,"(&gt;100)",-(AG18/AF18-1)*100),IF((AG18/AF18-1)*100&gt;100,"&gt;100",(AG18/AF18-1)*100))))</f>
        <v>-53.84615384615385</v>
      </c>
      <c r="AI18" s="121">
        <f>V18+W18</f>
        <v>7</v>
      </c>
      <c r="AJ18" s="122">
        <f>Z18+AA18</f>
        <v>4</v>
      </c>
      <c r="AK18" s="121">
        <f>IF(AND(AJ18=0,AI18=0),0,IF(OR(AND(AJ18&gt;0,AI18&lt;=0),AND(AJ18&lt;0,AI18&gt;=0)),"nm",IF(AND(AJ18&lt;0,AI18&lt;0),IF(-(AJ18/AI18-1)*100&lt;-100,"(&gt;100)",-(AJ18/AI18-1)*100),IF((AJ18/AI18-1)*100&gt;100,"&gt;100",(AJ18/AI18-1)*100))))</f>
        <v>-42.85714285714286</v>
      </c>
    </row>
    <row r="19" spans="3:33" ht="14.25">
      <c r="C19" s="20"/>
      <c r="D19" s="121"/>
      <c r="N19" s="171"/>
      <c r="O19" s="171"/>
      <c r="P19" s="171"/>
      <c r="Q19" s="171"/>
      <c r="R19" s="171"/>
      <c r="S19" s="171"/>
      <c r="T19" s="171"/>
      <c r="U19" s="171"/>
      <c r="V19" s="171"/>
      <c r="W19" s="171"/>
      <c r="X19" s="171"/>
      <c r="Y19" s="171"/>
      <c r="AB19" s="489"/>
      <c r="AG19" s="489"/>
    </row>
    <row r="20" spans="4:28" ht="14.25">
      <c r="D20" s="121"/>
      <c r="AB20" s="489"/>
    </row>
    <row r="21" ht="14.25">
      <c r="D21" s="121"/>
    </row>
    <row r="22" ht="14.25">
      <c r="AG22" s="352"/>
    </row>
    <row r="23" spans="26:28" ht="14.25">
      <c r="Z23" s="355"/>
      <c r="AA23" s="355"/>
      <c r="AB23" s="352"/>
    </row>
    <row r="24" spans="26:28" ht="14.25">
      <c r="Z24" s="355"/>
      <c r="AA24" s="355"/>
      <c r="AB24" s="352"/>
    </row>
    <row r="25" spans="26:28" ht="14.25">
      <c r="Z25" s="355"/>
      <c r="AA25" s="355"/>
      <c r="AB25" s="352"/>
    </row>
    <row r="26" spans="26:28" ht="14.25">
      <c r="Z26" s="355"/>
      <c r="AA26" s="355"/>
      <c r="AB26" s="352"/>
    </row>
    <row r="29" ht="14.25">
      <c r="B29" s="430" t="s">
        <v>407</v>
      </c>
    </row>
    <row r="30" ht="14.25">
      <c r="B30" s="430" t="s">
        <v>408</v>
      </c>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4" r:id="rId1"/>
  <ignoredErrors>
    <ignoredError sqref="AI4:AJ6 AI19:AJ21 AI8:AJ16 AJ7" formulaRange="1"/>
  </ignoredErrors>
</worksheet>
</file>

<file path=xl/worksheets/sheet18.xml><?xml version="1.0" encoding="utf-8"?>
<worksheet xmlns="http://schemas.openxmlformats.org/spreadsheetml/2006/main" xmlns:r="http://schemas.openxmlformats.org/officeDocument/2006/relationships">
  <sheetPr>
    <tabColor indexed="12"/>
    <pageSetUpPr fitToPage="1"/>
  </sheetPr>
  <dimension ref="A1:AK27"/>
  <sheetViews>
    <sheetView zoomScale="80" zoomScaleNormal="80" zoomScalePageLayoutView="0" workbookViewId="0" topLeftCell="A1">
      <pane xSplit="3" ySplit="2" topLeftCell="D3" activePane="bottomRight" state="frozen"/>
      <selection pane="topLeft" activeCell="P25" sqref="P25"/>
      <selection pane="topRight" activeCell="P25" sqref="P25"/>
      <selection pane="bottomLeft" activeCell="P25" sqref="P25"/>
      <selection pane="bottomRight" activeCell="AP26" sqref="AP26"/>
    </sheetView>
  </sheetViews>
  <sheetFormatPr defaultColWidth="9.140625" defaultRowHeight="12.75" outlineLevelCol="1"/>
  <cols>
    <col min="1" max="1" width="4.00390625" style="20" customWidth="1"/>
    <col min="2" max="2" width="4.28125" style="20" customWidth="1"/>
    <col min="3" max="3" width="32.57421875" style="5" customWidth="1"/>
    <col min="4" max="4" width="10.28125" style="126" hidden="1" customWidth="1" outlineLevel="1"/>
    <col min="5" max="8" width="10.28125" style="121" hidden="1" customWidth="1" outlineLevel="1"/>
    <col min="9" max="9" width="2.00390625" style="121" hidden="1" customWidth="1" outlineLevel="1"/>
    <col min="10" max="17" width="10.28125" style="121" hidden="1" customWidth="1" outlineLevel="1"/>
    <col min="18" max="19" width="10.28125" style="121" hidden="1" customWidth="1" outlineLevel="1" collapsed="1"/>
    <col min="20" max="21" width="10.28125" style="121" hidden="1" customWidth="1" outlineLevel="1"/>
    <col min="22" max="22" width="10.28125" style="121" customWidth="1" collapsed="1"/>
    <col min="23" max="27" width="10.28125" style="121" customWidth="1"/>
    <col min="28" max="28" width="10.28125" style="122" customWidth="1"/>
    <col min="29" max="30" width="7.7109375" style="121" customWidth="1"/>
    <col min="31" max="31" width="5.421875" style="121" customWidth="1"/>
    <col min="32" max="32" width="9.8515625" style="121" customWidth="1"/>
    <col min="33" max="33" width="10.140625" style="122" customWidth="1"/>
    <col min="34" max="34" width="9.28125" style="121" customWidth="1"/>
    <col min="35" max="35" width="9.8515625" style="121" hidden="1" customWidth="1"/>
    <col min="36" max="36" width="10.140625" style="122" hidden="1" customWidth="1"/>
    <col min="37" max="37" width="9.28125" style="121" hidden="1" customWidth="1"/>
    <col min="38" max="16384" width="9.140625" style="20" customWidth="1"/>
  </cols>
  <sheetData>
    <row r="1" spans="1:37" s="42" customFormat="1" ht="20.25">
      <c r="A1" s="41" t="s">
        <v>332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+'16.Institutional'!AC2</f>
        <v>3Q13
vs 
2Q13</v>
      </c>
      <c r="AD2" s="285" t="str">
        <f>+'16.Institutional'!AD2</f>
        <v>3Q13
vs 
3Q12</v>
      </c>
      <c r="AF2" s="74" t="s">
        <v>442</v>
      </c>
      <c r="AG2" s="74" t="s">
        <v>443</v>
      </c>
      <c r="AH2" s="285" t="s">
        <v>444</v>
      </c>
      <c r="AI2" s="285" t="str">
        <f>+'16.Institutional'!AI2</f>
        <v>9M12</v>
      </c>
      <c r="AJ2" s="285" t="str">
        <f>+'16.Institutional'!AJ2</f>
        <v>9M13</v>
      </c>
      <c r="AK2" s="285" t="str">
        <f>+'16.Institutional'!AK2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54"/>
      <c r="AA3" s="354"/>
      <c r="AB3" s="498"/>
      <c r="AC3" s="17"/>
      <c r="AD3" s="17"/>
      <c r="AE3" s="17"/>
      <c r="AF3" s="170"/>
      <c r="AG3" s="125"/>
      <c r="AH3" s="17"/>
      <c r="AI3" s="169"/>
      <c r="AJ3" s="125"/>
      <c r="AK3" s="17"/>
    </row>
    <row r="4" spans="2:37" ht="14.25">
      <c r="B4" s="101" t="s">
        <v>5</v>
      </c>
      <c r="C4" s="20"/>
      <c r="D4" s="121">
        <v>1121</v>
      </c>
      <c r="E4" s="121">
        <v>1223</v>
      </c>
      <c r="F4" s="121">
        <v>840</v>
      </c>
      <c r="G4" s="121">
        <v>951</v>
      </c>
      <c r="H4" s="121">
        <v>692</v>
      </c>
      <c r="I4" s="160"/>
      <c r="J4" s="75">
        <v>298</v>
      </c>
      <c r="K4" s="121">
        <v>340</v>
      </c>
      <c r="L4" s="121">
        <v>307</v>
      </c>
      <c r="M4" s="121">
        <v>278</v>
      </c>
      <c r="N4" s="121">
        <v>214</v>
      </c>
      <c r="O4" s="121">
        <v>183</v>
      </c>
      <c r="P4" s="121">
        <v>210</v>
      </c>
      <c r="Q4" s="121">
        <v>233</v>
      </c>
      <c r="R4" s="121">
        <v>224</v>
      </c>
      <c r="S4" s="121">
        <v>247</v>
      </c>
      <c r="T4" s="121">
        <v>240</v>
      </c>
      <c r="U4" s="121">
        <v>240</v>
      </c>
      <c r="V4" s="121">
        <v>203</v>
      </c>
      <c r="W4" s="121">
        <v>178</v>
      </c>
      <c r="X4" s="121">
        <v>160</v>
      </c>
      <c r="Y4" s="121">
        <v>151</v>
      </c>
      <c r="Z4" s="121">
        <v>163</v>
      </c>
      <c r="AA4" s="121">
        <v>180</v>
      </c>
      <c r="AB4" s="122">
        <v>169</v>
      </c>
      <c r="AC4" s="121">
        <f aca="true" t="shared" si="0" ref="AC4:AC10">IF(AND(AB4=0,AB4=0),0,IF(OR(AND(AB4&gt;0,AA4&lt;=0),AND(AB4&lt;0,AA4&gt;=0)),"nm",IF(AND(AB4&lt;0,AA4&lt;0),IF(-(AB4/AA4-1)*100&lt;-100,"(&gt;100)",-(AB4/AA4-1)*100),IF((AB4/AA4-1)*100&gt;100,"&gt;100",(AB4/AA4-1)*100))))</f>
        <v>-6.111111111111112</v>
      </c>
      <c r="AD4" s="121">
        <f aca="true" t="shared" si="1" ref="AD4:AD10">IF(AND(AB4=0,X4=0),0,IF(OR(AND(AB4&gt;0,X4&lt;=0),AND(AB4&lt;0,X4&gt;=0)),"nm",IF(AND(AB4&lt;0,X4&lt;0),IF(-(AB4/X4-1)*100&lt;-100,"(&gt;100)",-(AB4/X4-1)*100),IF((AB4/X4-1)*100&gt;100,"&gt;100",(AB4/X4-1)*100))))</f>
        <v>5.624999999999991</v>
      </c>
      <c r="AF4" s="121">
        <v>541</v>
      </c>
      <c r="AG4" s="122">
        <v>512</v>
      </c>
      <c r="AH4" s="121">
        <f>IF(AND(AG4=0,AF4=0),0,IF(OR(AND(AG4&gt;0,AF4&lt;=0),AND(AG4&lt;0,AF4&gt;=0)),"nm",IF(AND(AG4&lt;0,AF4&lt;0),IF(-(AG4/AF4-1)*100&lt;-100,"(&gt;100)",-(AG4/AF4-1)*100),IF((AG4/AF4-1)*100&gt;100,"&gt;100",(AG4/AF4-1)*100))))</f>
        <v>-5.360443622920519</v>
      </c>
      <c r="AI4" s="121">
        <f>SUM(V4:W4)</f>
        <v>381</v>
      </c>
      <c r="AJ4" s="122">
        <f>SUM(Z4:AA4)</f>
        <v>343</v>
      </c>
      <c r="AK4" s="121">
        <f>IF(AND(AJ4=0,AI4=0),0,IF(OR(AND(AJ4&gt;0,AI4&lt;=0),AND(AJ4&lt;0,AI4&gt;=0)),"nm",IF(AND(AJ4&lt;0,AI4&lt;0),IF(-(AJ4/AI4-1)*100&lt;-100,"(&gt;100)",-(AJ4/AI4-1)*100),IF((AJ4/AI4-1)*100&gt;100,"&gt;100",(AJ4/AI4-1)*100))))</f>
        <v>-9.973753280839892</v>
      </c>
    </row>
    <row r="5" spans="2:37" ht="14.25">
      <c r="B5" s="101" t="s">
        <v>25</v>
      </c>
      <c r="C5" s="20"/>
      <c r="D5" s="121">
        <v>-240</v>
      </c>
      <c r="E5" s="121">
        <v>26</v>
      </c>
      <c r="F5" s="121">
        <v>393</v>
      </c>
      <c r="G5" s="121">
        <v>201</v>
      </c>
      <c r="H5" s="121">
        <v>427</v>
      </c>
      <c r="I5" s="160"/>
      <c r="J5" s="75">
        <v>188</v>
      </c>
      <c r="K5" s="121">
        <v>-46</v>
      </c>
      <c r="L5" s="121">
        <v>-44</v>
      </c>
      <c r="M5" s="121">
        <v>-72</v>
      </c>
      <c r="N5" s="121">
        <v>161</v>
      </c>
      <c r="O5" s="121">
        <v>173</v>
      </c>
      <c r="P5" s="121">
        <v>125</v>
      </c>
      <c r="Q5" s="121">
        <v>-66</v>
      </c>
      <c r="R5" s="121">
        <v>80</v>
      </c>
      <c r="S5" s="121">
        <v>-14</v>
      </c>
      <c r="T5" s="121">
        <v>66</v>
      </c>
      <c r="U5" s="121">
        <v>69</v>
      </c>
      <c r="V5" s="121">
        <v>203</v>
      </c>
      <c r="W5" s="121">
        <v>20</v>
      </c>
      <c r="X5" s="121">
        <v>64</v>
      </c>
      <c r="Y5" s="121">
        <v>140</v>
      </c>
      <c r="Z5" s="121">
        <v>160</v>
      </c>
      <c r="AA5" s="121">
        <v>106</v>
      </c>
      <c r="AB5" s="122">
        <v>56</v>
      </c>
      <c r="AC5" s="121">
        <f t="shared" si="0"/>
        <v>-47.16981132075472</v>
      </c>
      <c r="AD5" s="121">
        <f t="shared" si="1"/>
        <v>-12.5</v>
      </c>
      <c r="AF5" s="121">
        <v>287</v>
      </c>
      <c r="AG5" s="122">
        <v>322</v>
      </c>
      <c r="AH5" s="121">
        <f aca="true" t="shared" si="2" ref="AH5:AH12">IF(AND(AG5=0,AF5=0),0,IF(OR(AND(AG5&gt;0,AF5&lt;=0),AND(AG5&lt;0,AF5&gt;=0)),"nm",IF(AND(AG5&lt;0,AF5&lt;0),IF(-(AG5/AF5-1)*100&lt;-100,"(&gt;100)",-(AG5/AF5-1)*100),IF((AG5/AF5-1)*100&gt;100,"&gt;100",(AG5/AF5-1)*100))))</f>
        <v>12.195121951219523</v>
      </c>
      <c r="AI5" s="121">
        <f aca="true" t="shared" si="3" ref="AI5:AI10">SUM(V5:W5)</f>
        <v>223</v>
      </c>
      <c r="AJ5" s="122">
        <f aca="true" t="shared" si="4" ref="AJ5:AJ10">SUM(Z5:AA5)</f>
        <v>266</v>
      </c>
      <c r="AK5" s="121">
        <f aca="true" t="shared" si="5" ref="AK5:AK12">IF(AND(AJ5=0,AI5=0),0,IF(OR(AND(AJ5&gt;0,AI5&lt;=0),AND(AJ5&lt;0,AI5&gt;=0)),"nm",IF(AND(AJ5&lt;0,AI5&lt;0),IF(-(AJ5/AI5-1)*100&lt;-100,"(&gt;100)",-(AJ5/AI5-1)*100),IF((AJ5/AI5-1)*100&gt;100,"&gt;100",(AJ5/AI5-1)*100))))</f>
        <v>19.282511210762323</v>
      </c>
    </row>
    <row r="6" spans="2:37" ht="14.25">
      <c r="B6" s="101" t="s">
        <v>6</v>
      </c>
      <c r="C6" s="20"/>
      <c r="D6" s="121">
        <v>881</v>
      </c>
      <c r="E6" s="121">
        <v>1249</v>
      </c>
      <c r="F6" s="121">
        <v>1233</v>
      </c>
      <c r="G6" s="121">
        <v>1152</v>
      </c>
      <c r="H6" s="121">
        <v>1119</v>
      </c>
      <c r="I6" s="160"/>
      <c r="J6" s="75">
        <f aca="true" t="shared" si="6" ref="J6:O6">J4+J5</f>
        <v>486</v>
      </c>
      <c r="K6" s="121">
        <f t="shared" si="6"/>
        <v>294</v>
      </c>
      <c r="L6" s="121">
        <f t="shared" si="6"/>
        <v>263</v>
      </c>
      <c r="M6" s="121">
        <f t="shared" si="6"/>
        <v>206</v>
      </c>
      <c r="N6" s="121">
        <f t="shared" si="6"/>
        <v>375</v>
      </c>
      <c r="O6" s="121">
        <f t="shared" si="6"/>
        <v>356</v>
      </c>
      <c r="P6" s="121">
        <v>335</v>
      </c>
      <c r="Q6" s="121">
        <v>167</v>
      </c>
      <c r="R6" s="121">
        <v>304</v>
      </c>
      <c r="S6" s="121">
        <v>233</v>
      </c>
      <c r="T6" s="121">
        <v>306</v>
      </c>
      <c r="U6" s="121">
        <v>309</v>
      </c>
      <c r="V6" s="121">
        <v>406</v>
      </c>
      <c r="W6" s="121">
        <v>198</v>
      </c>
      <c r="X6" s="121">
        <v>224</v>
      </c>
      <c r="Y6" s="121">
        <v>291</v>
      </c>
      <c r="Z6" s="121">
        <v>323</v>
      </c>
      <c r="AA6" s="121">
        <v>286</v>
      </c>
      <c r="AB6" s="122">
        <v>225</v>
      </c>
      <c r="AC6" s="121">
        <f t="shared" si="0"/>
        <v>-21.328671328671334</v>
      </c>
      <c r="AD6" s="121">
        <f t="shared" si="1"/>
        <v>0.44642857142858094</v>
      </c>
      <c r="AF6" s="121">
        <v>828</v>
      </c>
      <c r="AG6" s="122">
        <f>AG4+AG5</f>
        <v>834</v>
      </c>
      <c r="AH6" s="121">
        <f t="shared" si="2"/>
        <v>0.7246376811594235</v>
      </c>
      <c r="AI6" s="121">
        <f t="shared" si="3"/>
        <v>604</v>
      </c>
      <c r="AJ6" s="122">
        <f t="shared" si="4"/>
        <v>609</v>
      </c>
      <c r="AK6" s="121">
        <f t="shared" si="5"/>
        <v>0.8278145695364225</v>
      </c>
    </row>
    <row r="7" spans="2:37" ht="14.25">
      <c r="B7" s="101" t="s">
        <v>0</v>
      </c>
      <c r="C7" s="20"/>
      <c r="D7" s="121">
        <v>350</v>
      </c>
      <c r="E7" s="121">
        <v>324</v>
      </c>
      <c r="F7" s="121">
        <v>368</v>
      </c>
      <c r="G7" s="121">
        <v>420</v>
      </c>
      <c r="H7" s="121">
        <v>462</v>
      </c>
      <c r="I7" s="160"/>
      <c r="J7" s="75">
        <v>96</v>
      </c>
      <c r="K7" s="121">
        <v>89</v>
      </c>
      <c r="L7" s="121">
        <v>78</v>
      </c>
      <c r="M7" s="121">
        <v>62</v>
      </c>
      <c r="N7" s="121">
        <v>81</v>
      </c>
      <c r="O7" s="121">
        <v>90</v>
      </c>
      <c r="P7" s="121">
        <v>96</v>
      </c>
      <c r="Q7" s="121">
        <v>101</v>
      </c>
      <c r="R7" s="121">
        <v>94</v>
      </c>
      <c r="S7" s="121">
        <v>103</v>
      </c>
      <c r="T7" s="121">
        <v>106</v>
      </c>
      <c r="U7" s="121">
        <v>117</v>
      </c>
      <c r="V7" s="121">
        <v>106</v>
      </c>
      <c r="W7" s="121">
        <v>114</v>
      </c>
      <c r="X7" s="121">
        <v>112</v>
      </c>
      <c r="Y7" s="121">
        <v>130</v>
      </c>
      <c r="Z7" s="121">
        <v>110</v>
      </c>
      <c r="AA7" s="121">
        <v>119</v>
      </c>
      <c r="AB7" s="122">
        <v>121</v>
      </c>
      <c r="AC7" s="121">
        <f t="shared" si="0"/>
        <v>1.680672268907557</v>
      </c>
      <c r="AD7" s="121">
        <f t="shared" si="1"/>
        <v>8.03571428571428</v>
      </c>
      <c r="AF7" s="121">
        <v>332</v>
      </c>
      <c r="AG7" s="122">
        <v>350</v>
      </c>
      <c r="AH7" s="121">
        <f t="shared" si="2"/>
        <v>5.421686746987953</v>
      </c>
      <c r="AI7" s="121">
        <f t="shared" si="3"/>
        <v>220</v>
      </c>
      <c r="AJ7" s="122">
        <f t="shared" si="4"/>
        <v>229</v>
      </c>
      <c r="AK7" s="121">
        <f t="shared" si="5"/>
        <v>4.090909090909101</v>
      </c>
    </row>
    <row r="8" spans="2:37" ht="14.25">
      <c r="B8" s="101" t="s">
        <v>8</v>
      </c>
      <c r="C8" s="20"/>
      <c r="D8" s="121">
        <v>232</v>
      </c>
      <c r="E8" s="121">
        <v>7</v>
      </c>
      <c r="F8" s="121">
        <v>-2</v>
      </c>
      <c r="G8" s="121">
        <v>2</v>
      </c>
      <c r="H8" s="121">
        <v>-3</v>
      </c>
      <c r="I8" s="160"/>
      <c r="J8" s="75">
        <v>50</v>
      </c>
      <c r="K8" s="121">
        <v>-2</v>
      </c>
      <c r="L8" s="121">
        <v>2</v>
      </c>
      <c r="M8" s="121">
        <v>-43</v>
      </c>
      <c r="N8" s="121">
        <v>5</v>
      </c>
      <c r="O8" s="121">
        <v>0</v>
      </c>
      <c r="P8" s="121">
        <v>-3</v>
      </c>
      <c r="Q8" s="121">
        <v>-4</v>
      </c>
      <c r="R8" s="121">
        <v>7</v>
      </c>
      <c r="S8" s="121">
        <v>-4</v>
      </c>
      <c r="T8" s="121">
        <v>-1</v>
      </c>
      <c r="U8" s="121">
        <v>0</v>
      </c>
      <c r="V8" s="121">
        <v>-1</v>
      </c>
      <c r="W8" s="121">
        <v>-1</v>
      </c>
      <c r="X8" s="121">
        <v>-1</v>
      </c>
      <c r="Y8" s="121">
        <v>0</v>
      </c>
      <c r="Z8" s="121">
        <v>0</v>
      </c>
      <c r="AA8" s="121">
        <v>-1</v>
      </c>
      <c r="AB8" s="122">
        <v>-3</v>
      </c>
      <c r="AC8" s="121" t="str">
        <f t="shared" si="0"/>
        <v>(&gt;100)</v>
      </c>
      <c r="AD8" s="121" t="str">
        <f t="shared" si="1"/>
        <v>(&gt;100)</v>
      </c>
      <c r="AF8" s="121">
        <v>-3</v>
      </c>
      <c r="AG8" s="122">
        <v>-4</v>
      </c>
      <c r="AH8" s="121">
        <f>IF(AND(AG8=0,AF8=0),0,IF(OR(AND(AG8&gt;0,AF8&lt;=0),AND(AG8&lt;0,AF8&gt;=0)),"nm",IF(AND(AG8&lt;0,AF8&lt;0),IF(-(AG8/AF8-1)*100&lt;-100,"(&gt;100)",-(AG8/AF8-1)*100),IF((AG8/AF8-1)*100&gt;100,"&gt;100",(AG8/AF8-1)*100))))</f>
        <v>-33.33333333333333</v>
      </c>
      <c r="AI8" s="121">
        <f t="shared" si="3"/>
        <v>-2</v>
      </c>
      <c r="AJ8" s="122">
        <f t="shared" si="4"/>
        <v>-1</v>
      </c>
      <c r="AK8" s="121">
        <f>IF(AND(AJ8=0,AI8=0),0,IF(OR(AND(AJ8&gt;0,AI8&lt;=0),AND(AJ8&lt;0,AI8&gt;=0)),"nm",IF(AND(AJ8&lt;0,AI8&lt;0),IF(-(AJ8/AI8-1)*100&lt;-100,"(&gt;100)",-(AJ8/AI8-1)*100),IF((AJ8/AI8-1)*100&gt;100,"&gt;100",(AJ8/AI8-1)*100))))</f>
        <v>50</v>
      </c>
    </row>
    <row r="9" spans="2:37" ht="14.25">
      <c r="B9" s="102" t="s">
        <v>67</v>
      </c>
      <c r="C9" s="20"/>
      <c r="D9" s="121">
        <v>0</v>
      </c>
      <c r="E9" s="121">
        <v>0</v>
      </c>
      <c r="F9" s="121">
        <v>0</v>
      </c>
      <c r="G9" s="121">
        <v>0</v>
      </c>
      <c r="H9" s="121">
        <v>0</v>
      </c>
      <c r="I9" s="160"/>
      <c r="J9" s="75">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2">
        <v>0</v>
      </c>
      <c r="AC9" s="121">
        <f t="shared" si="0"/>
        <v>0</v>
      </c>
      <c r="AD9" s="121">
        <f t="shared" si="1"/>
        <v>0</v>
      </c>
      <c r="AF9" s="121">
        <v>0</v>
      </c>
      <c r="AG9" s="122">
        <v>0</v>
      </c>
      <c r="AH9" s="121">
        <f t="shared" si="2"/>
        <v>0</v>
      </c>
      <c r="AI9" s="121">
        <f t="shared" si="3"/>
        <v>0</v>
      </c>
      <c r="AJ9" s="122">
        <f t="shared" si="4"/>
        <v>0</v>
      </c>
      <c r="AK9" s="121">
        <f t="shared" si="5"/>
        <v>0</v>
      </c>
    </row>
    <row r="10" spans="2:37" ht="14.25">
      <c r="B10" s="102" t="s">
        <v>9</v>
      </c>
      <c r="C10" s="20"/>
      <c r="D10" s="121">
        <v>299</v>
      </c>
      <c r="E10" s="121">
        <v>918</v>
      </c>
      <c r="F10" s="121">
        <v>867</v>
      </c>
      <c r="G10" s="121">
        <v>730</v>
      </c>
      <c r="H10" s="121">
        <v>660</v>
      </c>
      <c r="I10" s="160"/>
      <c r="J10" s="75">
        <f aca="true" t="shared" si="7" ref="J10:O10">J6-J7-J8+J9</f>
        <v>340</v>
      </c>
      <c r="K10" s="121">
        <f t="shared" si="7"/>
        <v>207</v>
      </c>
      <c r="L10" s="121">
        <f t="shared" si="7"/>
        <v>183</v>
      </c>
      <c r="M10" s="121">
        <f t="shared" si="7"/>
        <v>187</v>
      </c>
      <c r="N10" s="121">
        <f t="shared" si="7"/>
        <v>289</v>
      </c>
      <c r="O10" s="121">
        <f t="shared" si="7"/>
        <v>266</v>
      </c>
      <c r="P10" s="121">
        <v>242</v>
      </c>
      <c r="Q10" s="121">
        <v>70</v>
      </c>
      <c r="R10" s="121">
        <v>203</v>
      </c>
      <c r="S10" s="121">
        <v>134</v>
      </c>
      <c r="T10" s="121">
        <v>201</v>
      </c>
      <c r="U10" s="121">
        <v>192</v>
      </c>
      <c r="V10" s="121">
        <v>301</v>
      </c>
      <c r="W10" s="121">
        <v>85</v>
      </c>
      <c r="X10" s="121">
        <v>113</v>
      </c>
      <c r="Y10" s="121">
        <v>161</v>
      </c>
      <c r="Z10" s="121">
        <v>213</v>
      </c>
      <c r="AA10" s="121">
        <v>168</v>
      </c>
      <c r="AB10" s="122">
        <v>107</v>
      </c>
      <c r="AC10" s="121">
        <f t="shared" si="0"/>
        <v>-36.30952380952381</v>
      </c>
      <c r="AD10" s="121">
        <f t="shared" si="1"/>
        <v>-5.309734513274334</v>
      </c>
      <c r="AF10" s="121">
        <v>499</v>
      </c>
      <c r="AG10" s="122">
        <f>AG6-AG7-AG8+AG9</f>
        <v>488</v>
      </c>
      <c r="AH10" s="121">
        <f t="shared" si="2"/>
        <v>-2.2044088176352727</v>
      </c>
      <c r="AI10" s="121">
        <f t="shared" si="3"/>
        <v>386</v>
      </c>
      <c r="AJ10" s="122">
        <f t="shared" si="4"/>
        <v>381</v>
      </c>
      <c r="AK10" s="121">
        <f t="shared" si="5"/>
        <v>-1.2953367875647714</v>
      </c>
    </row>
    <row r="11" spans="2:37" ht="14.25" hidden="1">
      <c r="B11" s="102" t="s">
        <v>68</v>
      </c>
      <c r="C11" s="20"/>
      <c r="D11" s="121">
        <v>85</v>
      </c>
      <c r="E11" s="121">
        <v>195</v>
      </c>
      <c r="F11" s="121">
        <v>134</v>
      </c>
      <c r="G11" s="121">
        <v>0</v>
      </c>
      <c r="I11" s="160"/>
      <c r="J11" s="75">
        <v>66</v>
      </c>
      <c r="K11" s="121">
        <v>50</v>
      </c>
      <c r="L11" s="121">
        <v>42</v>
      </c>
      <c r="M11" s="121">
        <v>37</v>
      </c>
      <c r="N11" s="121">
        <v>50</v>
      </c>
      <c r="O11" s="121">
        <v>37</v>
      </c>
      <c r="P11" s="121">
        <v>34</v>
      </c>
      <c r="Q11" s="121">
        <v>13</v>
      </c>
      <c r="R11" s="121">
        <v>34</v>
      </c>
      <c r="S11" s="121">
        <v>0</v>
      </c>
      <c r="T11" s="121">
        <v>0</v>
      </c>
      <c r="U11" s="121">
        <v>-34</v>
      </c>
      <c r="V11" s="121">
        <v>-34</v>
      </c>
      <c r="W11" s="121">
        <v>-34</v>
      </c>
      <c r="X11" s="121">
        <v>-34</v>
      </c>
      <c r="Y11" s="121">
        <v>-34</v>
      </c>
      <c r="Z11" s="436">
        <f aca="true" t="shared" si="8" ref="Z11:AB12">AG11-R11-S11-T11</f>
        <v>-34</v>
      </c>
      <c r="AA11" s="165">
        <f t="shared" si="8"/>
        <v>34</v>
      </c>
      <c r="AB11" s="489">
        <f t="shared" si="8"/>
        <v>202</v>
      </c>
      <c r="AC11" s="121" t="str">
        <f>IF(AND(Z11=0,R11=0),0,IF(OR(AND(Z11&gt;0,R11&lt;=0),AND(Z11&lt;0,R11&gt;=0)),"nm",IF(AND(Z11&lt;0,R11&lt;0),IF(-(Z11/R11-1)*100&lt;-100,"(&gt;100)",-(Z11/R11-1)*100),IF((Z11/R11-1)*100&gt;100,"&gt;100",(Z11/R11-1)*100))))</f>
        <v>nm</v>
      </c>
      <c r="AD11" s="121" t="str">
        <f>IF(AND(Z11=0,O11=0),0,IF(OR(AND(Z11&gt;0,O11&lt;=0),AND(Z11&lt;0,O11&gt;=0)),"nm",IF(AND(Z11&lt;0,O11&lt;0),IF(-(Z11/O11-1)*100&lt;-100,"(&gt;100)",-(Z11/O11-1)*100),IF((Z11/O11-1)*100&gt;100,"&gt;100",(Z11/O11-1)*100))))</f>
        <v>nm</v>
      </c>
      <c r="AF11" s="121">
        <v>0</v>
      </c>
      <c r="AG11" s="489">
        <v>0</v>
      </c>
      <c r="AH11" s="121">
        <f t="shared" si="2"/>
        <v>0</v>
      </c>
      <c r="AI11" s="121">
        <v>134</v>
      </c>
      <c r="AJ11" s="461">
        <v>0</v>
      </c>
      <c r="AK11" s="121">
        <f t="shared" si="5"/>
        <v>-100</v>
      </c>
    </row>
    <row r="12" spans="2:37" ht="14.25" hidden="1">
      <c r="B12" s="102" t="s">
        <v>53</v>
      </c>
      <c r="C12" s="20"/>
      <c r="D12" s="121">
        <v>214</v>
      </c>
      <c r="E12" s="121">
        <v>723</v>
      </c>
      <c r="F12" s="121">
        <v>733</v>
      </c>
      <c r="G12" s="121">
        <v>0</v>
      </c>
      <c r="I12" s="160"/>
      <c r="J12" s="75">
        <v>275</v>
      </c>
      <c r="K12" s="121">
        <f>K10-K11</f>
        <v>157</v>
      </c>
      <c r="L12" s="121">
        <f>L10-L11</f>
        <v>141</v>
      </c>
      <c r="M12" s="121">
        <f>M10-M11</f>
        <v>150</v>
      </c>
      <c r="N12" s="121">
        <f>N10-N11</f>
        <v>239</v>
      </c>
      <c r="O12" s="121">
        <f>O10-O11</f>
        <v>229</v>
      </c>
      <c r="P12" s="121">
        <v>208</v>
      </c>
      <c r="Q12" s="121">
        <v>57</v>
      </c>
      <c r="R12" s="121">
        <v>169</v>
      </c>
      <c r="S12" s="121">
        <v>0</v>
      </c>
      <c r="T12" s="121">
        <v>0</v>
      </c>
      <c r="U12" s="121">
        <v>-169</v>
      </c>
      <c r="V12" s="121">
        <v>-169</v>
      </c>
      <c r="W12" s="121">
        <v>-169</v>
      </c>
      <c r="X12" s="121">
        <v>-169</v>
      </c>
      <c r="Y12" s="121">
        <v>-169</v>
      </c>
      <c r="Z12" s="436">
        <f t="shared" si="8"/>
        <v>-169</v>
      </c>
      <c r="AA12" s="165">
        <f t="shared" si="8"/>
        <v>169</v>
      </c>
      <c r="AB12" s="489">
        <f t="shared" si="8"/>
        <v>1071</v>
      </c>
      <c r="AC12" s="121" t="str">
        <f>IF(AND(Z12=0,R12=0),0,IF(OR(AND(Z12&gt;0,R12&lt;=0),AND(Z12&lt;0,R12&gt;=0)),"nm",IF(AND(Z12&lt;0,R12&lt;0),IF(-(Z12/R12-1)*100&lt;-100,"(&gt;100)",-(Z12/R12-1)*100),IF((Z12/R12-1)*100&gt;100,"&gt;100",(Z12/R12-1)*100))))</f>
        <v>nm</v>
      </c>
      <c r="AD12" s="121" t="str">
        <f>IF(AND(Z12=0,O12=0),0,IF(OR(AND(Z12&gt;0,O12&lt;=0),AND(Z12&lt;0,O12&gt;=0)),"nm",IF(AND(Z12&lt;0,O12&lt;0),IF(-(Z12/O12-1)*100&lt;-100,"(&gt;100)",-(Z12/O12-1)*100),IF((Z12/O12-1)*100&gt;100,"&gt;100",(Z12/O12-1)*100))))</f>
        <v>nm</v>
      </c>
      <c r="AF12" s="121">
        <v>0</v>
      </c>
      <c r="AG12" s="489">
        <v>0</v>
      </c>
      <c r="AH12" s="121">
        <f t="shared" si="2"/>
        <v>0</v>
      </c>
      <c r="AI12" s="121">
        <v>733</v>
      </c>
      <c r="AJ12" s="461">
        <v>0</v>
      </c>
      <c r="AK12" s="121">
        <f t="shared" si="5"/>
        <v>-100</v>
      </c>
    </row>
    <row r="13" spans="3:36" ht="14.25">
      <c r="C13" s="20"/>
      <c r="D13" s="121"/>
      <c r="I13" s="160"/>
      <c r="J13" s="160"/>
      <c r="K13" s="160"/>
      <c r="L13" s="160"/>
      <c r="M13" s="160"/>
      <c r="N13" s="160"/>
      <c r="O13" s="160"/>
      <c r="P13" s="160"/>
      <c r="Q13" s="160"/>
      <c r="R13" s="160"/>
      <c r="S13" s="160"/>
      <c r="T13" s="160"/>
      <c r="U13" s="160"/>
      <c r="V13" s="160"/>
      <c r="W13" s="160"/>
      <c r="X13" s="160"/>
      <c r="Y13" s="160"/>
      <c r="Z13" s="436"/>
      <c r="AA13" s="165"/>
      <c r="AB13" s="489"/>
      <c r="AF13" s="171"/>
      <c r="AG13" s="489"/>
      <c r="AI13" s="165"/>
      <c r="AJ13" s="461"/>
    </row>
    <row r="14" spans="1:37" s="24" customFormat="1" ht="14.25" customHeight="1">
      <c r="A14" s="88" t="s">
        <v>108</v>
      </c>
      <c r="B14" s="31"/>
      <c r="D14" s="162"/>
      <c r="E14" s="162"/>
      <c r="F14" s="162"/>
      <c r="G14" s="162"/>
      <c r="H14" s="162"/>
      <c r="I14" s="17"/>
      <c r="J14" s="17"/>
      <c r="K14" s="17"/>
      <c r="L14" s="17"/>
      <c r="M14" s="17"/>
      <c r="N14" s="169"/>
      <c r="O14" s="169"/>
      <c r="P14" s="169"/>
      <c r="Q14" s="169"/>
      <c r="R14" s="169"/>
      <c r="S14" s="169"/>
      <c r="T14" s="169"/>
      <c r="U14" s="169"/>
      <c r="V14" s="169"/>
      <c r="W14" s="169"/>
      <c r="X14" s="169"/>
      <c r="Y14" s="169"/>
      <c r="Z14" s="437"/>
      <c r="AA14" s="17"/>
      <c r="AB14" s="125"/>
      <c r="AC14" s="17"/>
      <c r="AD14" s="17"/>
      <c r="AE14" s="17"/>
      <c r="AF14" s="170"/>
      <c r="AG14" s="498"/>
      <c r="AH14" s="17"/>
      <c r="AI14" s="169"/>
      <c r="AJ14" s="462"/>
      <c r="AK14" s="17"/>
    </row>
    <row r="15" spans="2:37" ht="14.25">
      <c r="B15" s="101" t="s">
        <v>72</v>
      </c>
      <c r="C15" s="20"/>
      <c r="D15" s="121">
        <v>101595</v>
      </c>
      <c r="E15" s="121">
        <v>97959</v>
      </c>
      <c r="F15" s="121">
        <v>98735</v>
      </c>
      <c r="G15" s="121">
        <v>103900</v>
      </c>
      <c r="H15" s="121">
        <v>75434</v>
      </c>
      <c r="J15" s="121">
        <v>113078</v>
      </c>
      <c r="K15" s="121">
        <v>106363</v>
      </c>
      <c r="L15" s="121">
        <v>100649</v>
      </c>
      <c r="M15" s="121">
        <v>97959</v>
      </c>
      <c r="N15" s="121">
        <v>98434</v>
      </c>
      <c r="O15" s="121">
        <v>100057</v>
      </c>
      <c r="P15" s="121">
        <v>99611</v>
      </c>
      <c r="Q15" s="121">
        <v>98735</v>
      </c>
      <c r="R15" s="121">
        <v>96656</v>
      </c>
      <c r="S15" s="121">
        <v>102305</v>
      </c>
      <c r="T15" s="121">
        <v>109985</v>
      </c>
      <c r="U15" s="121">
        <v>103900</v>
      </c>
      <c r="V15" s="121">
        <v>79895</v>
      </c>
      <c r="W15" s="121">
        <v>78978</v>
      </c>
      <c r="X15" s="121">
        <v>82656</v>
      </c>
      <c r="Y15" s="121">
        <v>75434</v>
      </c>
      <c r="Z15" s="121">
        <v>78063</v>
      </c>
      <c r="AA15" s="121">
        <v>78313</v>
      </c>
      <c r="AB15" s="122">
        <f>AG15</f>
        <v>84769</v>
      </c>
      <c r="AC15" s="121">
        <f>IF(AND(AB15=0,AB15=0),0,IF(OR(AND(AB15&gt;0,AA15&lt;=0),AND(AB15&lt;0,AA15&gt;=0)),"nm",IF(AND(AB15&lt;0,AA15&lt;0),IF(-(AB15/AA15-1)*100&lt;-100,"(&gt;100)",-(AB15/AA15-1)*100),IF((AB15/AA15-1)*100&gt;100,"&gt;100",(AB15/AA15-1)*100))))</f>
        <v>8.243842018566516</v>
      </c>
      <c r="AD15" s="121">
        <f>IF(AND(AB15=0,X15=0),0,IF(OR(AND(AB15&gt;0,X15&lt;=0),AND(AB15&lt;0,X15&gt;=0)),"nm",IF(AND(AB15&lt;0,X15&lt;0),IF(-(AB15/X15-1)*100&lt;-100,"(&gt;100)",-(AB15/X15-1)*100),IF((AB15/X15-1)*100&gt;100,"&gt;100",(AB15/X15-1)*100))))</f>
        <v>2.556378242353863</v>
      </c>
      <c r="AF15" s="121">
        <v>82656</v>
      </c>
      <c r="AG15" s="122">
        <v>84769</v>
      </c>
      <c r="AH15" s="121">
        <f>IF(AND(AG15=0,AF15=0),0,IF(OR(AND(AG15&gt;0,AF15&lt;=0),AND(AG15&lt;0,AF15&gt;=0)),"nm",IF(AND(AG15&lt;0,AF15&lt;0),IF(-(AG15/AF15-1)*100&lt;-100,"(&gt;100)",-(AG15/AF15-1)*100),IF((AG15/AF15-1)*100&gt;100,"&gt;100",(AG15/AF15-1)*100))))</f>
        <v>2.556378242353863</v>
      </c>
      <c r="AI15" s="121">
        <f>W15</f>
        <v>78978</v>
      </c>
      <c r="AJ15" s="122">
        <f>AA15</f>
        <v>78313</v>
      </c>
      <c r="AK15" s="121">
        <f>IF(AND(AJ15=0,AI15=0),0,IF(OR(AND(AJ15&gt;0,AI15&lt;=0),AND(AJ15&lt;0,AI15&gt;=0)),"nm",IF(AND(AJ15&lt;0,AI15&lt;0),IF(-(AJ15/AI15-1)*100&lt;-100,"(&gt;100)",-(AJ15/AI15-1)*100),IF((AJ15/AI15-1)*100&gt;100,"&gt;100",(AJ15/AI15-1)*100))))</f>
        <v>-0.8420066347590516</v>
      </c>
    </row>
    <row r="16" spans="2:37" ht="14.25">
      <c r="B16" s="101" t="s">
        <v>11</v>
      </c>
      <c r="C16" s="20"/>
      <c r="D16" s="121">
        <v>46715</v>
      </c>
      <c r="E16" s="121">
        <v>31262</v>
      </c>
      <c r="F16" s="121">
        <v>42584</v>
      </c>
      <c r="G16" s="121">
        <v>71166</v>
      </c>
      <c r="H16" s="121">
        <v>75697</v>
      </c>
      <c r="J16" s="121">
        <v>48368</v>
      </c>
      <c r="K16" s="121">
        <v>42296</v>
      </c>
      <c r="L16" s="121">
        <v>32946</v>
      </c>
      <c r="M16" s="121">
        <v>31262</v>
      </c>
      <c r="N16" s="121">
        <v>38180</v>
      </c>
      <c r="O16" s="121">
        <v>49489</v>
      </c>
      <c r="P16" s="121">
        <v>50908</v>
      </c>
      <c r="Q16" s="121">
        <v>42584</v>
      </c>
      <c r="R16" s="121">
        <v>51746</v>
      </c>
      <c r="S16" s="121">
        <v>59869</v>
      </c>
      <c r="T16" s="121">
        <v>75961</v>
      </c>
      <c r="U16" s="121">
        <v>71166</v>
      </c>
      <c r="V16" s="121">
        <v>70425</v>
      </c>
      <c r="W16" s="121">
        <v>77738</v>
      </c>
      <c r="X16" s="121">
        <v>82449</v>
      </c>
      <c r="Y16" s="121">
        <v>75697</v>
      </c>
      <c r="Z16" s="121">
        <v>79439</v>
      </c>
      <c r="AA16" s="121">
        <v>76288</v>
      </c>
      <c r="AB16" s="122">
        <f>AG16</f>
        <v>82662</v>
      </c>
      <c r="AC16" s="121">
        <f>IF(AND(AB16=0,AB16=0),0,IF(OR(AND(AB16&gt;0,AA16&lt;=0),AND(AB16&lt;0,AA16&gt;=0)),"nm",IF(AND(AB16&lt;0,AA16&lt;0),IF(-(AB16/AA16-1)*100&lt;-100,"(&gt;100)",-(AB16/AA16-1)*100),IF((AB16/AA16-1)*100&gt;100,"&gt;100",(AB16/AA16-1)*100))))</f>
        <v>8.355180369127524</v>
      </c>
      <c r="AD16" s="121">
        <f>IF(AND(AB16=0,X16=0),0,IF(OR(AND(AB16&gt;0,X16&lt;=0),AND(AB16&lt;0,X16&gt;=0)),"nm",IF(AND(AB16&lt;0,X16&lt;0),IF(-(AB16/X16-1)*100&lt;-100,"(&gt;100)",-(AB16/X16-1)*100),IF((AB16/X16-1)*100&gt;100,"&gt;100",(AB16/X16-1)*100))))</f>
        <v>0.25834152021249057</v>
      </c>
      <c r="AF16" s="121">
        <v>82449</v>
      </c>
      <c r="AG16" s="122">
        <v>82662</v>
      </c>
      <c r="AH16" s="121">
        <f>IF(AND(AG16=0,AF16=0),0,IF(OR(AND(AG16&gt;0,AF16&lt;=0),AND(AG16&lt;0,AF16&gt;=0)),"nm",IF(AND(AG16&lt;0,AF16&lt;0),IF(-(AG16/AF16-1)*100&lt;-100,"(&gt;100)",-(AG16/AF16-1)*100),IF((AG16/AF16-1)*100&gt;100,"&gt;100",(AG16/AF16-1)*100))))</f>
        <v>0.25834152021249057</v>
      </c>
      <c r="AI16" s="121">
        <f>W16</f>
        <v>77738</v>
      </c>
      <c r="AJ16" s="122">
        <f>AA16</f>
        <v>76288</v>
      </c>
      <c r="AK16" s="121">
        <f>IF(AND(AJ16=0,AI16=0),0,IF(OR(AND(AJ16&gt;0,AI16&lt;=0),AND(AJ16&lt;0,AI16&gt;=0)),"nm",IF(AND(AJ16&lt;0,AI16&lt;0),IF(-(AJ16/AI16-1)*100&lt;-100,"(&gt;100)",-(AJ16/AI16-1)*100),IF((AJ16/AI16-1)*100&gt;100,"&gt;100",(AJ16/AI16-1)*100))))</f>
        <v>-1.8652396511358638</v>
      </c>
    </row>
    <row r="17" spans="2:37" ht="14.25">
      <c r="B17" s="101" t="s">
        <v>69</v>
      </c>
      <c r="C17" s="20"/>
      <c r="D17" s="121">
        <v>11</v>
      </c>
      <c r="E17" s="121">
        <v>11</v>
      </c>
      <c r="F17" s="121">
        <v>10</v>
      </c>
      <c r="G17" s="121">
        <v>21</v>
      </c>
      <c r="H17" s="121">
        <v>13</v>
      </c>
      <c r="J17" s="121">
        <v>3</v>
      </c>
      <c r="K17" s="121">
        <v>3</v>
      </c>
      <c r="L17" s="121">
        <v>2</v>
      </c>
      <c r="M17" s="121">
        <v>3</v>
      </c>
      <c r="N17" s="121">
        <v>2</v>
      </c>
      <c r="O17" s="121">
        <v>0</v>
      </c>
      <c r="P17" s="121">
        <v>0</v>
      </c>
      <c r="Q17" s="121">
        <v>8</v>
      </c>
      <c r="R17" s="121">
        <v>1</v>
      </c>
      <c r="S17" s="121">
        <v>7</v>
      </c>
      <c r="T17" s="121">
        <v>5</v>
      </c>
      <c r="U17" s="121">
        <v>8</v>
      </c>
      <c r="V17" s="121">
        <v>0</v>
      </c>
      <c r="W17" s="121">
        <v>0</v>
      </c>
      <c r="X17" s="121">
        <v>0</v>
      </c>
      <c r="Y17" s="121">
        <v>13</v>
      </c>
      <c r="Z17" s="121">
        <v>3</v>
      </c>
      <c r="AA17" s="121">
        <v>6</v>
      </c>
      <c r="AB17" s="122">
        <v>1</v>
      </c>
      <c r="AC17" s="121">
        <f>IF(AND(AB17=0,AB17=0),0,IF(OR(AND(AB17&gt;0,AA17&lt;=0),AND(AB17&lt;0,AA17&gt;=0)),"nm",IF(AND(AB17&lt;0,AA17&lt;0),IF(-(AB17/AA17-1)*100&lt;-100,"(&gt;100)",-(AB17/AA17-1)*100),IF((AB17/AA17-1)*100&gt;100,"&gt;100",(AB17/AA17-1)*100))))</f>
        <v>-83.33333333333334</v>
      </c>
      <c r="AD17" s="121" t="str">
        <f>IF(AND(AB17=0,X17=0),0,IF(OR(AND(AB17&gt;0,X17&lt;=0),AND(AB17&lt;0,X17&gt;=0)),"nm",IF(AND(AB17&lt;0,X17&lt;0),IF(-(AB17/X17-1)*100&lt;-100,"(&gt;100)",-(AB17/X17-1)*100),IF((AB17/X17-1)*100&gt;100,"&gt;100",(AB17/X17-1)*100))))</f>
        <v>nm</v>
      </c>
      <c r="AF17" s="121">
        <v>0</v>
      </c>
      <c r="AG17" s="122">
        <f>Z17+AA17+AB17</f>
        <v>10</v>
      </c>
      <c r="AH17" s="121" t="str">
        <f>IF(AND(AG17=0,AF17=0),0,IF(OR(AND(AG17&gt;0,AF17&lt;=0),AND(AG17&lt;0,AF17&gt;=0)),"nm",IF(AND(AG17&lt;0,AF17&lt;0),IF(-(AG17/AF17-1)*100&lt;-100,"(&gt;100)",-(AG17/AF17-1)*100),IF((AG17/AF17-1)*100&gt;100,"&gt;100",(AG17/AF17-1)*100))))</f>
        <v>nm</v>
      </c>
      <c r="AI17" s="121">
        <f>V17+W17</f>
        <v>0</v>
      </c>
      <c r="AJ17" s="122">
        <f>Z17+AA17</f>
        <v>9</v>
      </c>
      <c r="AK17" s="121" t="str">
        <f>IF(AND(AJ17=0,AI17=0),0,IF(OR(AND(AJ17&gt;0,AI17&lt;=0),AND(AJ17&lt;0,AI17&gt;=0)),"nm",IF(AND(AJ17&lt;0,AI17&lt;0),IF(-(AJ17/AI17-1)*100&lt;-100,"(&gt;100)",-(AJ17/AI17-1)*100),IF((AJ17/AI17-1)*100&gt;100,"&gt;100",(AJ17/AI17-1)*100))))</f>
        <v>nm</v>
      </c>
    </row>
    <row r="18" spans="2:37" ht="14.25">
      <c r="B18" s="101" t="s">
        <v>70</v>
      </c>
      <c r="C18" s="20"/>
      <c r="D18" s="121">
        <v>5</v>
      </c>
      <c r="E18" s="121">
        <v>7</v>
      </c>
      <c r="F18" s="121">
        <v>9</v>
      </c>
      <c r="G18" s="121">
        <v>13</v>
      </c>
      <c r="H18" s="121">
        <v>7</v>
      </c>
      <c r="J18" s="121">
        <v>1</v>
      </c>
      <c r="K18" s="121">
        <v>2</v>
      </c>
      <c r="L18" s="121">
        <v>2</v>
      </c>
      <c r="M18" s="121">
        <v>2</v>
      </c>
      <c r="N18" s="121">
        <v>2</v>
      </c>
      <c r="O18" s="121">
        <v>2</v>
      </c>
      <c r="P18" s="121">
        <v>3</v>
      </c>
      <c r="Q18" s="121">
        <v>2</v>
      </c>
      <c r="R18" s="121">
        <v>2</v>
      </c>
      <c r="S18" s="121">
        <v>2</v>
      </c>
      <c r="T18" s="121">
        <v>3</v>
      </c>
      <c r="U18" s="121">
        <v>6</v>
      </c>
      <c r="V18" s="121">
        <v>2</v>
      </c>
      <c r="W18" s="121">
        <v>1</v>
      </c>
      <c r="X18" s="121">
        <v>2</v>
      </c>
      <c r="Y18" s="121">
        <v>2</v>
      </c>
      <c r="Z18" s="121">
        <v>2</v>
      </c>
      <c r="AA18" s="121">
        <v>2</v>
      </c>
      <c r="AB18" s="122">
        <v>2</v>
      </c>
      <c r="AC18" s="121">
        <f>IF(AND(AB18=0,AB18=0),0,IF(OR(AND(AB18&gt;0,AA18&lt;=0),AND(AB18&lt;0,AA18&gt;=0)),"nm",IF(AND(AB18&lt;0,AA18&lt;0),IF(-(AB18/AA18-1)*100&lt;-100,"(&gt;100)",-(AB18/AA18-1)*100),IF((AB18/AA18-1)*100&gt;100,"&gt;100",(AB18/AA18-1)*100))))</f>
        <v>0</v>
      </c>
      <c r="AD18" s="121">
        <f>IF(AND(AB18=0,X18=0),0,IF(OR(AND(AB18&gt;0,X18&lt;=0),AND(AB18&lt;0,X18&gt;=0)),"nm",IF(AND(AB18&lt;0,X18&lt;0),IF(-(AB18/X18-1)*100&lt;-100,"(&gt;100)",-(AB18/X18-1)*100),IF((AB18/X18-1)*100&gt;100,"&gt;100",(AB18/X18-1)*100))))</f>
        <v>0</v>
      </c>
      <c r="AF18" s="121">
        <v>5</v>
      </c>
      <c r="AG18" s="122">
        <f>Z18+AA18+AB18</f>
        <v>6</v>
      </c>
      <c r="AH18" s="121">
        <f>IF(AND(AG18=0,AF18=0),0,IF(OR(AND(AG18&gt;0,AF18&lt;=0),AND(AG18&lt;0,AF18&gt;=0)),"nm",IF(AND(AG18&lt;0,AF18&lt;0),IF(-(AG18/AF18-1)*100&lt;-100,"(&gt;100)",-(AG18/AF18-1)*100),IF((AG18/AF18-1)*100&gt;100,"&gt;100",(AG18/AF18-1)*100))))</f>
        <v>19.999999999999996</v>
      </c>
      <c r="AI18" s="121">
        <f>V18+W18</f>
        <v>3</v>
      </c>
      <c r="AJ18" s="122">
        <f>Z18+AA18</f>
        <v>4</v>
      </c>
      <c r="AK18" s="121">
        <f>IF(AND(AJ18=0,AI18=0),0,IF(OR(AND(AJ18&gt;0,AI18&lt;=0),AND(AJ18&lt;0,AI18&gt;=0)),"nm",IF(AND(AJ18&lt;0,AI18&lt;0),IF(-(AJ18/AI18-1)*100&lt;-100,"(&gt;100)",-(AJ18/AI18-1)*100),IF((AJ18/AI18-1)*100&gt;100,"&gt;100",(AJ18/AI18-1)*100))))</f>
        <v>33.33333333333333</v>
      </c>
    </row>
    <row r="19" spans="3:33" ht="14.25">
      <c r="C19" s="20"/>
      <c r="D19" s="121"/>
      <c r="AB19" s="489"/>
      <c r="AG19" s="489"/>
    </row>
    <row r="20" spans="26:33" ht="14.25">
      <c r="Z20" s="355"/>
      <c r="AA20" s="355"/>
      <c r="AB20" s="489"/>
      <c r="AG20" s="489"/>
    </row>
    <row r="21" spans="26:33" ht="14.25">
      <c r="Z21" s="355"/>
      <c r="AA21" s="355"/>
      <c r="AB21" s="352"/>
      <c r="AG21" s="352"/>
    </row>
    <row r="22" spans="26:33" ht="14.25">
      <c r="Z22" s="355"/>
      <c r="AA22" s="355"/>
      <c r="AB22" s="352"/>
      <c r="AG22" s="352"/>
    </row>
    <row r="23" spans="26:33" ht="14.25">
      <c r="Z23" s="355"/>
      <c r="AA23" s="355"/>
      <c r="AB23" s="352"/>
      <c r="AG23" s="352"/>
    </row>
    <row r="24" spans="26:33" ht="14.25">
      <c r="Z24" s="355"/>
      <c r="AA24" s="355"/>
      <c r="AB24" s="352"/>
      <c r="AG24" s="352"/>
    </row>
    <row r="25" spans="26:28" ht="14.25">
      <c r="Z25" s="355"/>
      <c r="AA25" s="355"/>
      <c r="AB25" s="352"/>
    </row>
    <row r="26" spans="26:28" ht="14.25">
      <c r="Z26" s="355"/>
      <c r="AA26" s="355"/>
      <c r="AB26" s="352"/>
    </row>
    <row r="27" spans="26:28" ht="14.25">
      <c r="Z27" s="355"/>
      <c r="AA27" s="355"/>
      <c r="AB27" s="352"/>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2" r:id="rId1"/>
  <ignoredErrors>
    <ignoredError sqref="AI4:AJ16 AI19:AJ20" formulaRange="1"/>
  </ignoredErrors>
</worksheet>
</file>

<file path=xl/worksheets/sheet19.xml><?xml version="1.0" encoding="utf-8"?>
<worksheet xmlns="http://schemas.openxmlformats.org/spreadsheetml/2006/main" xmlns:r="http://schemas.openxmlformats.org/officeDocument/2006/relationships">
  <sheetPr>
    <tabColor indexed="12"/>
    <pageSetUpPr fitToPage="1"/>
  </sheetPr>
  <dimension ref="A1:AK25"/>
  <sheetViews>
    <sheetView zoomScale="80" zoomScaleNormal="80" zoomScalePageLayoutView="0" workbookViewId="0" topLeftCell="A1">
      <pane xSplit="3" ySplit="2" topLeftCell="R3" activePane="bottomRight" state="frozen"/>
      <selection pane="topLeft" activeCell="P25" sqref="P25"/>
      <selection pane="topRight" activeCell="P25" sqref="P25"/>
      <selection pane="bottomLeft" activeCell="P25" sqref="P25"/>
      <selection pane="bottomRight" activeCell="AP22" sqref="AP22"/>
    </sheetView>
  </sheetViews>
  <sheetFormatPr defaultColWidth="9.140625" defaultRowHeight="12.75" outlineLevelCol="1"/>
  <cols>
    <col min="1" max="1" width="4.00390625" style="20" customWidth="1"/>
    <col min="2" max="2" width="4.28125" style="20" customWidth="1"/>
    <col min="3" max="3" width="32.8515625" style="5" customWidth="1"/>
    <col min="4" max="4" width="9.28125" style="126" hidden="1" customWidth="1" outlineLevel="1"/>
    <col min="5" max="8" width="9.28125" style="121" hidden="1" customWidth="1" outlineLevel="1"/>
    <col min="9" max="9" width="3.28125" style="121" hidden="1" customWidth="1" outlineLevel="1"/>
    <col min="10" max="17" width="9.28125" style="121" hidden="1" customWidth="1" outlineLevel="1"/>
    <col min="18" max="19" width="9.28125" style="121" hidden="1" customWidth="1" outlineLevel="1" collapsed="1"/>
    <col min="20" max="21" width="9.28125" style="121" hidden="1" customWidth="1" outlineLevel="1"/>
    <col min="22" max="22" width="9.28125" style="121" customWidth="1" collapsed="1"/>
    <col min="23" max="27" width="9.28125" style="121" customWidth="1"/>
    <col min="28" max="28" width="9.28125" style="122" customWidth="1"/>
    <col min="29" max="29" width="7.7109375" style="121" bestFit="1" customWidth="1"/>
    <col min="30" max="30" width="8.57421875" style="121" customWidth="1"/>
    <col min="31" max="31" width="5.7109375" style="121" bestFit="1" customWidth="1"/>
    <col min="32" max="32" width="9.28125" style="121" customWidth="1"/>
    <col min="33" max="33" width="9.28125" style="122" customWidth="1"/>
    <col min="34" max="34" width="7.7109375" style="121" customWidth="1"/>
    <col min="35" max="35" width="9.28125" style="121" hidden="1" customWidth="1"/>
    <col min="36" max="36" width="9.28125" style="122" hidden="1" customWidth="1"/>
    <col min="37" max="37" width="7.7109375" style="121" hidden="1" customWidth="1"/>
    <col min="38" max="16384" width="9.140625" style="20" customWidth="1"/>
  </cols>
  <sheetData>
    <row r="1" spans="1:37" s="42" customFormat="1" ht="20.25">
      <c r="A1" s="41" t="s">
        <v>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+'17.Treasury'!AC2</f>
        <v>3Q13
vs 
2Q13</v>
      </c>
      <c r="AD2" s="285" t="str">
        <f>+'17.Treasury'!AD2</f>
        <v>3Q13
vs 
3Q12</v>
      </c>
      <c r="AF2" s="74" t="s">
        <v>442</v>
      </c>
      <c r="AG2" s="74" t="s">
        <v>443</v>
      </c>
      <c r="AH2" s="285" t="s">
        <v>444</v>
      </c>
      <c r="AI2" s="285" t="str">
        <f>+'17.Treasury'!AI2</f>
        <v>9M12</v>
      </c>
      <c r="AJ2" s="285" t="str">
        <f>+'17.Treasury'!AJ2</f>
        <v>9M13</v>
      </c>
      <c r="AK2" s="285" t="str">
        <f>+'17.Treasury'!AK2</f>
        <v>9M13
vs 
9M12</v>
      </c>
    </row>
    <row r="3" spans="1:37" s="24" customFormat="1" ht="14.25" customHeight="1">
      <c r="A3" s="47" t="s">
        <v>103</v>
      </c>
      <c r="B3" s="31"/>
      <c r="D3" s="8"/>
      <c r="E3" s="17"/>
      <c r="F3" s="17"/>
      <c r="G3" s="17"/>
      <c r="H3" s="17"/>
      <c r="I3" s="17"/>
      <c r="J3" s="17"/>
      <c r="K3" s="17"/>
      <c r="L3" s="17"/>
      <c r="M3" s="17"/>
      <c r="N3" s="170"/>
      <c r="O3" s="170"/>
      <c r="P3" s="170"/>
      <c r="Q3" s="170"/>
      <c r="R3" s="170"/>
      <c r="S3" s="170"/>
      <c r="T3" s="170"/>
      <c r="U3" s="170"/>
      <c r="V3" s="170"/>
      <c r="W3" s="170"/>
      <c r="X3" s="169"/>
      <c r="Y3" s="169"/>
      <c r="Z3" s="354"/>
      <c r="AA3" s="354"/>
      <c r="AB3" s="498"/>
      <c r="AC3" s="17"/>
      <c r="AD3" s="17"/>
      <c r="AE3" s="17"/>
      <c r="AF3" s="17"/>
      <c r="AG3" s="125"/>
      <c r="AH3" s="17"/>
      <c r="AI3" s="17"/>
      <c r="AJ3" s="462"/>
      <c r="AK3" s="17"/>
    </row>
    <row r="4" spans="2:37" ht="14.25">
      <c r="B4" s="38" t="s">
        <v>5</v>
      </c>
      <c r="D4" s="140">
        <v>135</v>
      </c>
      <c r="E4" s="121">
        <v>-11</v>
      </c>
      <c r="F4" s="121">
        <v>85</v>
      </c>
      <c r="G4" s="121">
        <v>111</v>
      </c>
      <c r="H4" s="121">
        <v>399</v>
      </c>
      <c r="I4" s="160"/>
      <c r="J4" s="121">
        <v>18</v>
      </c>
      <c r="K4" s="121">
        <v>-15</v>
      </c>
      <c r="L4" s="121">
        <v>-13</v>
      </c>
      <c r="M4" s="121">
        <v>-1</v>
      </c>
      <c r="N4" s="121">
        <v>19</v>
      </c>
      <c r="O4" s="121">
        <v>28</v>
      </c>
      <c r="P4" s="121">
        <v>26</v>
      </c>
      <c r="Q4" s="121">
        <v>12</v>
      </c>
      <c r="R4" s="121">
        <v>37</v>
      </c>
      <c r="S4" s="121">
        <v>25</v>
      </c>
      <c r="T4" s="121">
        <v>35</v>
      </c>
      <c r="U4" s="121">
        <v>14</v>
      </c>
      <c r="V4" s="121">
        <v>92</v>
      </c>
      <c r="W4" s="422">
        <v>82</v>
      </c>
      <c r="X4" s="422">
        <v>119</v>
      </c>
      <c r="Y4" s="121">
        <v>126</v>
      </c>
      <c r="Z4" s="121">
        <v>87</v>
      </c>
      <c r="AA4" s="121">
        <v>96</v>
      </c>
      <c r="AB4" s="122">
        <v>97</v>
      </c>
      <c r="AC4" s="75">
        <f aca="true" t="shared" si="0" ref="AC4:AC10">IF(AND(AB4=0,AB4=0),0,IF(OR(AND(AB4&gt;0,AA4&lt;=0),AND(AB4&lt;0,AA4&gt;=0)),"nm",IF(AND(AB4&lt;0,AA4&lt;0),IF(-(AB4/AA4-1)*100&lt;-100,"(&gt;100)",-(AB4/AA4-1)*100),IF((AB4/AA4-1)*100&gt;100,"&gt;100",(AB4/AA4-1)*100))))</f>
        <v>1.041666666666674</v>
      </c>
      <c r="AD4" s="75">
        <f aca="true" t="shared" si="1" ref="AD4:AD10">IF(AND(AB4=0,X4=0),0,IF(OR(AND(AB4&gt;0,X4&lt;=0),AND(AB4&lt;0,X4&gt;=0)),"nm",IF(AND(AB4&lt;0,X4&lt;0),IF(-(AB4/X4-1)*100&lt;-100,"(&gt;100)",-(AB4/X4-1)*100),IF((AB4/X4-1)*100&gt;100,"&gt;100",(AB4/X4-1)*100))))</f>
        <v>-18.487394957983195</v>
      </c>
      <c r="AE4" s="75"/>
      <c r="AF4" s="121">
        <v>293</v>
      </c>
      <c r="AG4" s="122">
        <v>280</v>
      </c>
      <c r="AH4" s="121">
        <f aca="true" t="shared" si="2" ref="AH4:AH12">IF(AND(AG4=0,AF4=0),0,IF(OR(AND(AG4&gt;0,AF4&lt;=0),AND(AG4&lt;0,AF4&gt;=0)),"nm",IF(AND(AG4&lt;0,AF4&lt;0),IF(-(AG4/AF4-1)*100&lt;-100,"(&gt;100)",-(AG4/AF4-1)*100),IF((AG4/AF4-1)*100&gt;100,"&gt;100",(AG4/AF4-1)*100))))</f>
        <v>-4.436860068259385</v>
      </c>
      <c r="AI4" s="121">
        <f>SUM(V4:W4)</f>
        <v>174</v>
      </c>
      <c r="AJ4" s="122">
        <f aca="true" t="shared" si="3" ref="AJ4:AJ10">SUM(Z4:AA4)</f>
        <v>183</v>
      </c>
      <c r="AK4" s="121">
        <f aca="true" t="shared" si="4" ref="AK4:AK12">IF(AND(AJ4=0,AI4=0),0,IF(OR(AND(AJ4&gt;0,AI4&lt;=0),AND(AJ4&lt;0,AI4&gt;=0)),"nm",IF(AND(AJ4&lt;0,AI4&lt;0),IF(-(AJ4/AI4-1)*100&lt;-100,"(&gt;100)",-(AJ4/AI4-1)*100),IF((AJ4/AI4-1)*100&gt;100,"&gt;100",(AJ4/AI4-1)*100))))</f>
        <v>5.1724137931034475</v>
      </c>
    </row>
    <row r="5" spans="2:37" ht="14.25">
      <c r="B5" s="38" t="s">
        <v>25</v>
      </c>
      <c r="D5" s="140">
        <v>64</v>
      </c>
      <c r="E5" s="121">
        <v>185</v>
      </c>
      <c r="F5" s="121">
        <v>170</v>
      </c>
      <c r="G5" s="121">
        <v>154</v>
      </c>
      <c r="H5" s="121">
        <v>-66</v>
      </c>
      <c r="I5" s="160"/>
      <c r="J5" s="121">
        <v>-79</v>
      </c>
      <c r="K5" s="121">
        <v>227</v>
      </c>
      <c r="L5" s="121">
        <v>-1</v>
      </c>
      <c r="M5" s="121">
        <v>38</v>
      </c>
      <c r="N5" s="121">
        <v>-1</v>
      </c>
      <c r="O5" s="121">
        <v>-10</v>
      </c>
      <c r="P5" s="121">
        <v>42</v>
      </c>
      <c r="Q5" s="121">
        <v>139</v>
      </c>
      <c r="R5" s="121">
        <v>68</v>
      </c>
      <c r="S5" s="121">
        <v>31</v>
      </c>
      <c r="T5" s="121">
        <v>23</v>
      </c>
      <c r="U5" s="121">
        <v>32</v>
      </c>
      <c r="V5" s="121">
        <v>-3</v>
      </c>
      <c r="W5" s="422">
        <v>24</v>
      </c>
      <c r="X5" s="422">
        <v>17</v>
      </c>
      <c r="Y5" s="121">
        <v>36</v>
      </c>
      <c r="Z5" s="121">
        <v>83</v>
      </c>
      <c r="AA5" s="121">
        <v>122</v>
      </c>
      <c r="AB5" s="122">
        <v>46</v>
      </c>
      <c r="AC5" s="75">
        <f t="shared" si="0"/>
        <v>-62.295081967213115</v>
      </c>
      <c r="AD5" s="75" t="str">
        <f t="shared" si="1"/>
        <v>&gt;100</v>
      </c>
      <c r="AE5" s="75"/>
      <c r="AF5" s="121">
        <v>38</v>
      </c>
      <c r="AG5" s="122">
        <v>251</v>
      </c>
      <c r="AH5" s="121" t="str">
        <f t="shared" si="2"/>
        <v>&gt;100</v>
      </c>
      <c r="AI5" s="121">
        <f>SUM(V5:W5)</f>
        <v>21</v>
      </c>
      <c r="AJ5" s="122">
        <f t="shared" si="3"/>
        <v>205</v>
      </c>
      <c r="AK5" s="121" t="str">
        <f t="shared" si="4"/>
        <v>&gt;100</v>
      </c>
    </row>
    <row r="6" spans="2:37" ht="14.25">
      <c r="B6" s="38" t="s">
        <v>6</v>
      </c>
      <c r="D6" s="140">
        <v>199</v>
      </c>
      <c r="E6" s="121">
        <v>174</v>
      </c>
      <c r="F6" s="121">
        <v>255</v>
      </c>
      <c r="G6" s="121">
        <v>265</v>
      </c>
      <c r="H6" s="121">
        <v>333</v>
      </c>
      <c r="I6" s="160"/>
      <c r="J6" s="121">
        <f aca="true" t="shared" si="5" ref="J6:O6">J4+J5</f>
        <v>-61</v>
      </c>
      <c r="K6" s="121">
        <f t="shared" si="5"/>
        <v>212</v>
      </c>
      <c r="L6" s="121">
        <f t="shared" si="5"/>
        <v>-14</v>
      </c>
      <c r="M6" s="121">
        <f t="shared" si="5"/>
        <v>37</v>
      </c>
      <c r="N6" s="121">
        <f t="shared" si="5"/>
        <v>18</v>
      </c>
      <c r="O6" s="121">
        <f t="shared" si="5"/>
        <v>18</v>
      </c>
      <c r="P6" s="121">
        <v>68</v>
      </c>
      <c r="Q6" s="121">
        <v>151</v>
      </c>
      <c r="R6" s="121">
        <v>105</v>
      </c>
      <c r="S6" s="121">
        <v>56</v>
      </c>
      <c r="T6" s="121">
        <v>58</v>
      </c>
      <c r="U6" s="121">
        <v>46</v>
      </c>
      <c r="V6" s="121">
        <v>89</v>
      </c>
      <c r="W6" s="422">
        <v>106</v>
      </c>
      <c r="X6" s="422">
        <v>136</v>
      </c>
      <c r="Y6" s="121">
        <v>162</v>
      </c>
      <c r="Z6" s="121">
        <v>170</v>
      </c>
      <c r="AA6" s="121">
        <v>218</v>
      </c>
      <c r="AB6" s="122">
        <v>143</v>
      </c>
      <c r="AC6" s="75">
        <f t="shared" si="0"/>
        <v>-34.403669724770644</v>
      </c>
      <c r="AD6" s="75">
        <f t="shared" si="1"/>
        <v>5.147058823529416</v>
      </c>
      <c r="AE6" s="75"/>
      <c r="AF6" s="121">
        <v>331</v>
      </c>
      <c r="AG6" s="122">
        <f>AG4+AG5</f>
        <v>531</v>
      </c>
      <c r="AH6" s="121">
        <f t="shared" si="2"/>
        <v>60.422960725075534</v>
      </c>
      <c r="AI6" s="121">
        <f>SUM(V6:W6)</f>
        <v>195</v>
      </c>
      <c r="AJ6" s="122">
        <f t="shared" si="3"/>
        <v>388</v>
      </c>
      <c r="AK6" s="121">
        <f t="shared" si="4"/>
        <v>98.97435897435898</v>
      </c>
    </row>
    <row r="7" spans="2:37" ht="14.25">
      <c r="B7" s="38" t="s">
        <v>0</v>
      </c>
      <c r="D7" s="140">
        <v>14</v>
      </c>
      <c r="E7" s="121">
        <v>71</v>
      </c>
      <c r="F7" s="121">
        <v>-33</v>
      </c>
      <c r="G7" s="121">
        <v>3</v>
      </c>
      <c r="H7" s="121">
        <v>134</v>
      </c>
      <c r="I7" s="160"/>
      <c r="J7" s="121">
        <v>52</v>
      </c>
      <c r="K7" s="121">
        <v>7</v>
      </c>
      <c r="L7" s="121">
        <v>29</v>
      </c>
      <c r="M7" s="121">
        <v>-18</v>
      </c>
      <c r="N7" s="121">
        <v>24</v>
      </c>
      <c r="O7" s="121">
        <v>5</v>
      </c>
      <c r="P7" s="121">
        <v>-9</v>
      </c>
      <c r="Q7" s="121">
        <v>-53</v>
      </c>
      <c r="R7" s="121">
        <v>21</v>
      </c>
      <c r="S7" s="121">
        <v>0</v>
      </c>
      <c r="T7" s="121">
        <v>19</v>
      </c>
      <c r="U7" s="121">
        <v>-37</v>
      </c>
      <c r="V7" s="121">
        <v>146</v>
      </c>
      <c r="W7" s="422">
        <v>65</v>
      </c>
      <c r="X7" s="422">
        <v>64</v>
      </c>
      <c r="Y7" s="121">
        <v>6</v>
      </c>
      <c r="Z7" s="121">
        <v>123</v>
      </c>
      <c r="AA7" s="121">
        <v>95</v>
      </c>
      <c r="AB7" s="122">
        <v>51</v>
      </c>
      <c r="AC7" s="75">
        <f t="shared" si="0"/>
        <v>-46.31578947368421</v>
      </c>
      <c r="AD7" s="75">
        <f t="shared" si="1"/>
        <v>-20.3125</v>
      </c>
      <c r="AE7" s="75"/>
      <c r="AF7" s="121">
        <v>275</v>
      </c>
      <c r="AG7" s="122">
        <v>269</v>
      </c>
      <c r="AH7" s="121">
        <f t="shared" si="2"/>
        <v>-2.1818181818181848</v>
      </c>
      <c r="AI7" s="121">
        <f>SUM(V7:W7)</f>
        <v>211</v>
      </c>
      <c r="AJ7" s="122">
        <f t="shared" si="3"/>
        <v>218</v>
      </c>
      <c r="AK7" s="121">
        <f t="shared" si="4"/>
        <v>3.3175355450236976</v>
      </c>
    </row>
    <row r="8" spans="2:37" ht="14.25">
      <c r="B8" s="38" t="s">
        <v>8</v>
      </c>
      <c r="D8" s="140">
        <v>-119</v>
      </c>
      <c r="E8" s="121">
        <v>322</v>
      </c>
      <c r="F8" s="121">
        <v>46</v>
      </c>
      <c r="G8" s="121">
        <v>196</v>
      </c>
      <c r="H8" s="121">
        <v>115</v>
      </c>
      <c r="I8" s="160"/>
      <c r="J8" s="121">
        <v>118</v>
      </c>
      <c r="K8" s="121">
        <v>185</v>
      </c>
      <c r="L8" s="121">
        <v>0</v>
      </c>
      <c r="M8" s="121">
        <v>19</v>
      </c>
      <c r="N8" s="121">
        <v>10</v>
      </c>
      <c r="O8" s="121">
        <v>6</v>
      </c>
      <c r="P8" s="121">
        <v>34</v>
      </c>
      <c r="Q8" s="121">
        <v>-4</v>
      </c>
      <c r="R8" s="121">
        <v>46</v>
      </c>
      <c r="S8" s="121">
        <v>43</v>
      </c>
      <c r="T8" s="121">
        <v>78</v>
      </c>
      <c r="U8" s="121">
        <v>29</v>
      </c>
      <c r="V8" s="121">
        <v>51</v>
      </c>
      <c r="W8" s="422">
        <v>7</v>
      </c>
      <c r="X8" s="422">
        <v>46</v>
      </c>
      <c r="Y8" s="121">
        <v>8</v>
      </c>
      <c r="Z8" s="121">
        <v>32</v>
      </c>
      <c r="AA8" s="121">
        <v>33</v>
      </c>
      <c r="AB8" s="122">
        <v>56</v>
      </c>
      <c r="AC8" s="75">
        <f t="shared" si="0"/>
        <v>69.6969696969697</v>
      </c>
      <c r="AD8" s="75">
        <f t="shared" si="1"/>
        <v>21.739130434782616</v>
      </c>
      <c r="AE8" s="75"/>
      <c r="AF8" s="121">
        <v>104</v>
      </c>
      <c r="AG8" s="122">
        <v>121</v>
      </c>
      <c r="AH8" s="121">
        <f t="shared" si="2"/>
        <v>16.346153846153854</v>
      </c>
      <c r="AI8" s="121">
        <f>SUM(V8:W8)</f>
        <v>58</v>
      </c>
      <c r="AJ8" s="122">
        <f t="shared" si="3"/>
        <v>65</v>
      </c>
      <c r="AK8" s="121">
        <f t="shared" si="4"/>
        <v>12.06896551724137</v>
      </c>
    </row>
    <row r="9" spans="2:37" ht="14.25">
      <c r="B9" s="39" t="s">
        <v>67</v>
      </c>
      <c r="D9" s="140">
        <v>56</v>
      </c>
      <c r="E9" s="121">
        <v>38</v>
      </c>
      <c r="F9" s="121">
        <v>77</v>
      </c>
      <c r="G9" s="121">
        <v>106</v>
      </c>
      <c r="H9" s="121">
        <v>118</v>
      </c>
      <c r="I9" s="160"/>
      <c r="J9" s="121">
        <v>15</v>
      </c>
      <c r="K9" s="121">
        <v>7</v>
      </c>
      <c r="L9" s="121">
        <v>19</v>
      </c>
      <c r="M9" s="121">
        <v>-3</v>
      </c>
      <c r="N9" s="121">
        <v>16</v>
      </c>
      <c r="O9" s="121">
        <v>17</v>
      </c>
      <c r="P9" s="121">
        <v>25</v>
      </c>
      <c r="Q9" s="121">
        <v>19</v>
      </c>
      <c r="R9" s="121">
        <v>17</v>
      </c>
      <c r="S9" s="121">
        <v>24</v>
      </c>
      <c r="T9" s="121">
        <v>31</v>
      </c>
      <c r="U9" s="121">
        <v>34</v>
      </c>
      <c r="V9" s="121">
        <v>39</v>
      </c>
      <c r="W9" s="422">
        <v>36</v>
      </c>
      <c r="X9" s="422">
        <v>28</v>
      </c>
      <c r="Y9" s="121">
        <v>21</v>
      </c>
      <c r="Z9" s="121">
        <v>27</v>
      </c>
      <c r="AA9" s="121">
        <v>22</v>
      </c>
      <c r="AB9" s="122">
        <v>17</v>
      </c>
      <c r="AC9" s="75">
        <f t="shared" si="0"/>
        <v>-22.72727272727273</v>
      </c>
      <c r="AD9" s="75">
        <f t="shared" si="1"/>
        <v>-39.28571428571429</v>
      </c>
      <c r="AE9" s="75"/>
      <c r="AF9" s="121">
        <v>103</v>
      </c>
      <c r="AG9" s="122">
        <v>66</v>
      </c>
      <c r="AH9" s="121">
        <f t="shared" si="2"/>
        <v>-35.922330097087375</v>
      </c>
      <c r="AI9" s="121">
        <f>SUM(V9:W9)</f>
        <v>75</v>
      </c>
      <c r="AJ9" s="122">
        <f t="shared" si="3"/>
        <v>49</v>
      </c>
      <c r="AK9" s="121">
        <f t="shared" si="4"/>
        <v>-34.66666666666667</v>
      </c>
    </row>
    <row r="10" spans="2:37" ht="14.25">
      <c r="B10" s="39" t="s">
        <v>9</v>
      </c>
      <c r="D10" s="140">
        <v>360</v>
      </c>
      <c r="E10" s="121">
        <v>-181</v>
      </c>
      <c r="F10" s="121">
        <v>319</v>
      </c>
      <c r="G10" s="121">
        <v>172</v>
      </c>
      <c r="H10" s="121">
        <v>202</v>
      </c>
      <c r="I10" s="160"/>
      <c r="J10" s="121">
        <f aca="true" t="shared" si="6" ref="J10:O10">J6-J7-J8+J9</f>
        <v>-216</v>
      </c>
      <c r="K10" s="121">
        <f t="shared" si="6"/>
        <v>27</v>
      </c>
      <c r="L10" s="121">
        <f t="shared" si="6"/>
        <v>-24</v>
      </c>
      <c r="M10" s="121">
        <f t="shared" si="6"/>
        <v>33</v>
      </c>
      <c r="N10" s="121">
        <f t="shared" si="6"/>
        <v>0</v>
      </c>
      <c r="O10" s="121">
        <f t="shared" si="6"/>
        <v>24</v>
      </c>
      <c r="P10" s="121">
        <v>68</v>
      </c>
      <c r="Q10" s="121">
        <v>227</v>
      </c>
      <c r="R10" s="121">
        <v>55</v>
      </c>
      <c r="S10" s="121">
        <v>37</v>
      </c>
      <c r="T10" s="121">
        <v>-8</v>
      </c>
      <c r="U10" s="121">
        <v>88</v>
      </c>
      <c r="V10" s="121">
        <v>-69</v>
      </c>
      <c r="W10" s="422">
        <v>70</v>
      </c>
      <c r="X10" s="422">
        <v>54</v>
      </c>
      <c r="Y10" s="121">
        <v>169</v>
      </c>
      <c r="Z10" s="121">
        <v>42</v>
      </c>
      <c r="AA10" s="121">
        <v>112</v>
      </c>
      <c r="AB10" s="122">
        <v>53</v>
      </c>
      <c r="AC10" s="75">
        <f t="shared" si="0"/>
        <v>-52.67857142857143</v>
      </c>
      <c r="AD10" s="75">
        <f t="shared" si="1"/>
        <v>-1.851851851851849</v>
      </c>
      <c r="AE10" s="75"/>
      <c r="AF10" s="121">
        <v>55</v>
      </c>
      <c r="AG10" s="122">
        <f>AG6-AG7-AG8+AG9</f>
        <v>207</v>
      </c>
      <c r="AH10" s="121" t="str">
        <f t="shared" si="2"/>
        <v>&gt;100</v>
      </c>
      <c r="AI10" s="121">
        <f>SUM(V10:W10)</f>
        <v>1</v>
      </c>
      <c r="AJ10" s="122">
        <f t="shared" si="3"/>
        <v>154</v>
      </c>
      <c r="AK10" s="121" t="str">
        <f t="shared" si="4"/>
        <v>&gt;100</v>
      </c>
    </row>
    <row r="11" spans="2:37" ht="14.25" customHeight="1" hidden="1">
      <c r="B11" s="39" t="s">
        <v>68</v>
      </c>
      <c r="D11" s="140">
        <v>-25</v>
      </c>
      <c r="E11" s="121">
        <v>-216</v>
      </c>
      <c r="F11" s="121">
        <v>-35</v>
      </c>
      <c r="I11" s="160"/>
      <c r="J11" s="121">
        <v>-56</v>
      </c>
      <c r="K11" s="121">
        <v>-32</v>
      </c>
      <c r="L11" s="121">
        <v>-30</v>
      </c>
      <c r="M11" s="121">
        <v>-98</v>
      </c>
      <c r="N11" s="121">
        <v>-12</v>
      </c>
      <c r="O11" s="121">
        <v>-10</v>
      </c>
      <c r="P11" s="121">
        <v>14</v>
      </c>
      <c r="Q11" s="121">
        <v>-27</v>
      </c>
      <c r="R11" s="121">
        <v>-29</v>
      </c>
      <c r="U11" s="121">
        <v>29</v>
      </c>
      <c r="V11" s="121">
        <v>29</v>
      </c>
      <c r="W11" s="121">
        <v>29</v>
      </c>
      <c r="X11" s="121">
        <v>29</v>
      </c>
      <c r="Y11" s="121">
        <v>29</v>
      </c>
      <c r="Z11" s="436">
        <f aca="true" t="shared" si="7" ref="Z11:AB12">AG11-R11-S11-T11</f>
        <v>29</v>
      </c>
      <c r="AA11" s="165">
        <f t="shared" si="7"/>
        <v>-29</v>
      </c>
      <c r="AB11" s="489">
        <f t="shared" si="7"/>
        <v>-93</v>
      </c>
      <c r="AC11" s="75" t="str">
        <f>IF(AND(Z11=0,R11=0),0,IF(OR(AND(Z11&gt;0,R11&lt;=0),AND(Z11&lt;0,R11&gt;=0)),"nm",IF(AND(Z11&lt;0,R11&lt;0),IF(-(Z11/R11-1)*100&lt;-100,"(&gt;100)",-(Z11/R11-1)*100),IF((Z11/R11-1)*100&gt;100,"&gt;100",(Z11/R11-1)*100))))</f>
        <v>nm</v>
      </c>
      <c r="AD11" s="75" t="str">
        <f>IF(AND(Z11=0,O11=0),0,IF(OR(AND(Z11&gt;0,O11&lt;=0),AND(Z11&lt;0,O11&gt;=0)),"nm",IF(AND(Z11&lt;0,O11&lt;0),IF(-(Z11/O11-1)*100&lt;-100,"(&gt;100)",-(Z11/O11-1)*100),IF((Z11/O11-1)*100&gt;100,"&gt;100",(Z11/O11-1)*100))))</f>
        <v>nm</v>
      </c>
      <c r="AE11" s="75"/>
      <c r="AF11" s="75"/>
      <c r="AG11" s="489"/>
      <c r="AH11" s="121">
        <f t="shared" si="2"/>
        <v>0</v>
      </c>
      <c r="AI11" s="121">
        <v>-35</v>
      </c>
      <c r="AJ11" s="461"/>
      <c r="AK11" s="121">
        <f t="shared" si="4"/>
        <v>-100</v>
      </c>
    </row>
    <row r="12" spans="2:37" ht="18" customHeight="1" hidden="1">
      <c r="B12" s="39" t="s">
        <v>53</v>
      </c>
      <c r="D12" s="140">
        <v>181</v>
      </c>
      <c r="E12" s="121">
        <v>-205</v>
      </c>
      <c r="F12" s="121">
        <v>99</v>
      </c>
      <c r="I12" s="160"/>
      <c r="J12" s="121">
        <v>-222</v>
      </c>
      <c r="K12" s="121">
        <v>-2</v>
      </c>
      <c r="L12" s="121">
        <v>-54</v>
      </c>
      <c r="M12" s="121">
        <v>73</v>
      </c>
      <c r="N12" s="121">
        <v>-46</v>
      </c>
      <c r="O12" s="121">
        <v>-26</v>
      </c>
      <c r="P12" s="121">
        <v>-6</v>
      </c>
      <c r="Q12" s="121">
        <v>177</v>
      </c>
      <c r="R12" s="121">
        <v>1</v>
      </c>
      <c r="U12" s="121">
        <v>-1</v>
      </c>
      <c r="V12" s="121">
        <v>-1</v>
      </c>
      <c r="W12" s="121">
        <v>-1</v>
      </c>
      <c r="X12" s="121">
        <v>-1</v>
      </c>
      <c r="Y12" s="121">
        <v>-1</v>
      </c>
      <c r="Z12" s="436">
        <f t="shared" si="7"/>
        <v>-1</v>
      </c>
      <c r="AA12" s="165">
        <f t="shared" si="7"/>
        <v>1</v>
      </c>
      <c r="AB12" s="489">
        <f t="shared" si="7"/>
        <v>101</v>
      </c>
      <c r="AC12" s="75" t="str">
        <f>IF(AND(Z12=0,R12=0),0,IF(OR(AND(Z12&gt;0,R12&lt;=0),AND(Z12&lt;0,R12&gt;=0)),"nm",IF(AND(Z12&lt;0,R12&lt;0),IF(-(Z12/R12-1)*100&lt;-100,"(&gt;100)",-(Z12/R12-1)*100),IF((Z12/R12-1)*100&gt;100,"&gt;100",(Z12/R12-1)*100))))</f>
        <v>nm</v>
      </c>
      <c r="AD12" s="75">
        <f>IF(AND(Z12=0,O12=0),0,IF(OR(AND(Z12&gt;0,O12&lt;=0),AND(Z12&lt;0,O12&gt;=0)),"nm",IF(AND(Z12&lt;0,O12&lt;0),IF(-(Z12/O12-1)*100&lt;-100,"(&gt;100)",-(Z12/O12-1)*100),IF((Z12/O12-1)*100&gt;100,"&gt;100",(Z12/O12-1)*100))))</f>
        <v>96.15384615384616</v>
      </c>
      <c r="AE12" s="75"/>
      <c r="AF12" s="75"/>
      <c r="AG12" s="489"/>
      <c r="AH12" s="121">
        <f t="shared" si="2"/>
        <v>0</v>
      </c>
      <c r="AI12" s="121">
        <v>99</v>
      </c>
      <c r="AJ12" s="461"/>
      <c r="AK12" s="121">
        <f t="shared" si="4"/>
        <v>-100</v>
      </c>
    </row>
    <row r="13" spans="4:33" ht="14.25">
      <c r="D13" s="161"/>
      <c r="E13" s="160"/>
      <c r="F13" s="160"/>
      <c r="G13" s="160"/>
      <c r="I13" s="160"/>
      <c r="J13" s="160"/>
      <c r="L13" s="160"/>
      <c r="M13" s="160"/>
      <c r="N13" s="160"/>
      <c r="O13" s="160"/>
      <c r="P13" s="160"/>
      <c r="Q13" s="160"/>
      <c r="R13" s="160"/>
      <c r="S13" s="160"/>
      <c r="T13" s="160"/>
      <c r="U13" s="160"/>
      <c r="V13" s="160"/>
      <c r="W13" s="160"/>
      <c r="X13" s="160"/>
      <c r="Y13" s="160"/>
      <c r="Z13" s="436"/>
      <c r="AA13" s="165"/>
      <c r="AB13" s="489"/>
      <c r="AF13" s="165"/>
      <c r="AG13" s="489"/>
    </row>
    <row r="14" spans="1:37" s="24" customFormat="1" ht="14.25" customHeight="1">
      <c r="A14" s="47" t="s">
        <v>108</v>
      </c>
      <c r="B14" s="31"/>
      <c r="D14" s="8"/>
      <c r="E14" s="17"/>
      <c r="F14" s="17"/>
      <c r="G14" s="17"/>
      <c r="H14" s="17"/>
      <c r="I14" s="17"/>
      <c r="J14" s="17"/>
      <c r="K14" s="17"/>
      <c r="L14" s="17"/>
      <c r="M14" s="17"/>
      <c r="N14" s="170"/>
      <c r="O14" s="170"/>
      <c r="P14" s="170"/>
      <c r="Q14" s="170"/>
      <c r="R14" s="170"/>
      <c r="S14" s="170"/>
      <c r="T14" s="170"/>
      <c r="U14" s="170"/>
      <c r="V14" s="170"/>
      <c r="W14" s="170"/>
      <c r="X14" s="170"/>
      <c r="Y14" s="170"/>
      <c r="Z14" s="437"/>
      <c r="AA14" s="169"/>
      <c r="AB14" s="498"/>
      <c r="AC14" s="17"/>
      <c r="AD14" s="17"/>
      <c r="AE14" s="17"/>
      <c r="AF14" s="169"/>
      <c r="AG14" s="498"/>
      <c r="AH14" s="17"/>
      <c r="AI14" s="17"/>
      <c r="AJ14" s="125"/>
      <c r="AK14" s="17"/>
    </row>
    <row r="15" spans="2:37" ht="14.25">
      <c r="B15" s="38" t="s">
        <v>72</v>
      </c>
      <c r="D15" s="121">
        <v>7708</v>
      </c>
      <c r="E15" s="121">
        <v>9095</v>
      </c>
      <c r="F15" s="121">
        <v>10273</v>
      </c>
      <c r="G15" s="121">
        <v>10048</v>
      </c>
      <c r="H15" s="121">
        <v>32492</v>
      </c>
      <c r="J15" s="121">
        <v>10378</v>
      </c>
      <c r="K15" s="121">
        <v>9788</v>
      </c>
      <c r="L15" s="75">
        <f>10815-1</f>
        <v>10814</v>
      </c>
      <c r="M15" s="121">
        <v>9095</v>
      </c>
      <c r="N15" s="75">
        <v>10225</v>
      </c>
      <c r="O15" s="75">
        <v>8150</v>
      </c>
      <c r="P15" s="75">
        <v>9927</v>
      </c>
      <c r="Q15" s="75">
        <v>10273</v>
      </c>
      <c r="R15" s="75">
        <v>13938</v>
      </c>
      <c r="S15" s="75">
        <v>14699</v>
      </c>
      <c r="T15" s="75">
        <v>11290</v>
      </c>
      <c r="U15" s="75">
        <v>10048</v>
      </c>
      <c r="V15" s="426">
        <f>37045+2108</f>
        <v>39153</v>
      </c>
      <c r="W15" s="426">
        <f>34115+1929</f>
        <v>36044</v>
      </c>
      <c r="X15" s="426">
        <f>39711+2158</f>
        <v>41869</v>
      </c>
      <c r="Y15" s="426">
        <f>32492+1744</f>
        <v>34236</v>
      </c>
      <c r="Z15" s="121">
        <v>36014</v>
      </c>
      <c r="AA15" s="121">
        <v>36867</v>
      </c>
      <c r="AB15" s="122">
        <f>AG15</f>
        <v>38004</v>
      </c>
      <c r="AC15" s="121">
        <f>IF(AND(AB15=0,AB15=0),0,IF(OR(AND(AB15&gt;0,AA15&lt;=0),AND(AB15&lt;0,AA15&gt;=0)),"nm",IF(AND(AB15&lt;0,AA15&lt;0),IF(-(AB15/AA15-1)*100&lt;-100,"(&gt;100)",-(AB15/AA15-1)*100),IF((AB15/AA15-1)*100&gt;100,"&gt;100",(AB15/AA15-1)*100))))</f>
        <v>3.084058914476362</v>
      </c>
      <c r="AD15" s="121">
        <f>IF(AND(AB15=0,X15=0),0,IF(OR(AND(AB15&gt;0,X15&lt;=0),AND(AB15&lt;0,X15&gt;=0)),"nm",IF(AND(AB15&lt;0,X15&lt;0),IF(-(AB15/X15-1)*100&lt;-100,"(&gt;100)",-(AB15/X15-1)*100),IF((AB15/X15-1)*100&gt;100,"&gt;100",(AB15/X15-1)*100))))</f>
        <v>-9.231173421863437</v>
      </c>
      <c r="AF15" s="121">
        <v>39711</v>
      </c>
      <c r="AG15" s="122">
        <v>38004</v>
      </c>
      <c r="AH15" s="121">
        <f>IF(AND(AG15=0,AF15=0),0,IF(OR(AND(AG15&gt;0,AF15&lt;=0),AND(AG15&lt;0,AF15&gt;=0)),"nm",IF(AND(AG15&lt;0,AF15&lt;0),IF(-(AG15/AF15-1)*100&lt;-100,"(&gt;100)",-(AG15/AF15-1)*100),IF((AG15/AF15-1)*100&gt;100,"&gt;100",(AG15/AF15-1)*100))))</f>
        <v>-4.298557074865905</v>
      </c>
      <c r="AI15" s="121">
        <f>W15</f>
        <v>36044</v>
      </c>
      <c r="AJ15" s="122">
        <f>AA15</f>
        <v>36867</v>
      </c>
      <c r="AK15" s="121">
        <f>IF(AND(AJ15=0,AI15=0),0,IF(OR(AND(AJ15&gt;0,AI15&lt;=0),AND(AJ15&lt;0,AI15&gt;=0)),"nm",IF(AND(AJ15&lt;0,AI15&lt;0),IF(-(AJ15/AI15-1)*100&lt;-100,"(&gt;100)",-(AJ15/AI15-1)*100),IF((AJ15/AI15-1)*100&gt;100,"&gt;100",(AJ15/AI15-1)*100))))</f>
        <v>2.283320386194654</v>
      </c>
    </row>
    <row r="16" spans="2:37" ht="14.25">
      <c r="B16" s="38" t="s">
        <v>11</v>
      </c>
      <c r="D16" s="121">
        <v>15798</v>
      </c>
      <c r="E16" s="121">
        <v>13605</v>
      </c>
      <c r="F16" s="121">
        <v>9936</v>
      </c>
      <c r="G16" s="121">
        <v>5160</v>
      </c>
      <c r="H16" s="121">
        <v>1249</v>
      </c>
      <c r="J16" s="121">
        <v>17793</v>
      </c>
      <c r="K16" s="121">
        <v>14930</v>
      </c>
      <c r="L16" s="75">
        <v>13491</v>
      </c>
      <c r="M16" s="121">
        <v>13605</v>
      </c>
      <c r="N16" s="75">
        <v>13859</v>
      </c>
      <c r="O16" s="75">
        <v>12689</v>
      </c>
      <c r="P16" s="75">
        <v>9275</v>
      </c>
      <c r="Q16" s="75">
        <v>9936</v>
      </c>
      <c r="R16" s="75">
        <v>9861</v>
      </c>
      <c r="S16" s="75">
        <v>6911</v>
      </c>
      <c r="T16" s="75">
        <v>4572</v>
      </c>
      <c r="U16" s="75">
        <v>5160</v>
      </c>
      <c r="V16" s="426">
        <f>8680+2165</f>
        <v>10845</v>
      </c>
      <c r="W16" s="426">
        <f>7612+1670</f>
        <v>9282</v>
      </c>
      <c r="X16" s="426">
        <f>7364+2254</f>
        <v>9618</v>
      </c>
      <c r="Y16" s="426">
        <f>1249+1750</f>
        <v>2999</v>
      </c>
      <c r="Z16" s="121">
        <v>8498</v>
      </c>
      <c r="AA16" s="121">
        <v>12123</v>
      </c>
      <c r="AB16" s="122">
        <f>AG16</f>
        <v>15287</v>
      </c>
      <c r="AC16" s="121">
        <f>IF(AND(AB16=0,AB16=0),0,IF(OR(AND(AB16&gt;0,AA16&lt;=0),AND(AB16&lt;0,AA16&gt;=0)),"nm",IF(AND(AB16&lt;0,AA16&lt;0),IF(-(AB16/AA16-1)*100&lt;-100,"(&gt;100)",-(AB16/AA16-1)*100),IF((AB16/AA16-1)*100&gt;100,"&gt;100",(AB16/AA16-1)*100))))</f>
        <v>26.099150375319645</v>
      </c>
      <c r="AD16" s="121">
        <f>IF(AND(AB16=0,X16=0),0,IF(OR(AND(AB16&gt;0,X16&lt;=0),AND(AB16&lt;0,X16&gt;=0)),"nm",IF(AND(AB16&lt;0,X16&lt;0),IF(-(AB16/X16-1)*100&lt;-100,"(&gt;100)",-(AB16/X16-1)*100),IF((AB16/X16-1)*100&gt;100,"&gt;100",(AB16/X16-1)*100))))</f>
        <v>58.941567893532955</v>
      </c>
      <c r="AF16" s="121">
        <v>7364</v>
      </c>
      <c r="AG16" s="122">
        <v>15287</v>
      </c>
      <c r="AH16" s="121" t="str">
        <f>IF(AND(AG16=0,AF16=0),0,IF(OR(AND(AG16&gt;0,AF16&lt;=0),AND(AG16&lt;0,AF16&gt;=0)),"nm",IF(AND(AG16&lt;0,AF16&lt;0),IF(-(AG16/AF16-1)*100&lt;-100,"(&gt;100)",-(AG16/AF16-1)*100),IF((AG16/AF16-1)*100&gt;100,"&gt;100",(AG16/AF16-1)*100))))</f>
        <v>&gt;100</v>
      </c>
      <c r="AI16" s="121">
        <f>W16</f>
        <v>9282</v>
      </c>
      <c r="AJ16" s="122">
        <f>AA16</f>
        <v>12123</v>
      </c>
      <c r="AK16" s="121">
        <f>IF(AND(AJ16=0,AI16=0),0,IF(OR(AND(AJ16&gt;0,AI16&lt;=0),AND(AJ16&lt;0,AI16&gt;=0)),"nm",IF(AND(AJ16&lt;0,AI16&lt;0),IF(-(AJ16/AI16-1)*100&lt;-100,"(&gt;100)",-(AJ16/AI16-1)*100),IF((AJ16/AI16-1)*100&gt;100,"&gt;100",(AJ16/AI16-1)*100))))</f>
        <v>30.607627666451197</v>
      </c>
    </row>
    <row r="17" spans="2:37" ht="14.25">
      <c r="B17" s="38" t="s">
        <v>69</v>
      </c>
      <c r="D17" s="121">
        <v>194</v>
      </c>
      <c r="E17" s="121">
        <v>118</v>
      </c>
      <c r="F17" s="121">
        <v>92</v>
      </c>
      <c r="G17" s="121">
        <v>96</v>
      </c>
      <c r="H17" s="121">
        <v>239</v>
      </c>
      <c r="J17" s="121">
        <v>37</v>
      </c>
      <c r="K17" s="121">
        <v>8</v>
      </c>
      <c r="L17" s="75">
        <v>36</v>
      </c>
      <c r="M17" s="121">
        <v>37</v>
      </c>
      <c r="N17" s="75">
        <v>7</v>
      </c>
      <c r="O17" s="75">
        <v>19</v>
      </c>
      <c r="P17" s="75">
        <v>22</v>
      </c>
      <c r="Q17" s="75">
        <v>44</v>
      </c>
      <c r="R17" s="75">
        <v>20</v>
      </c>
      <c r="S17" s="75">
        <v>11</v>
      </c>
      <c r="T17" s="75">
        <v>24</v>
      </c>
      <c r="U17" s="75">
        <v>41</v>
      </c>
      <c r="V17" s="426">
        <v>29</v>
      </c>
      <c r="W17" s="426">
        <f>50+1</f>
        <v>51</v>
      </c>
      <c r="X17" s="426">
        <f>60+5</f>
        <v>65</v>
      </c>
      <c r="Y17" s="426">
        <f>100+11</f>
        <v>111</v>
      </c>
      <c r="Z17" s="121">
        <v>18</v>
      </c>
      <c r="AA17" s="121">
        <v>29</v>
      </c>
      <c r="AB17" s="122">
        <v>41</v>
      </c>
      <c r="AC17" s="121">
        <f>IF(AND(AB17=0,AB17=0),0,IF(OR(AND(AB17&gt;0,AA17&lt;=0),AND(AB17&lt;0,AA17&gt;=0)),"nm",IF(AND(AB17&lt;0,AA17&lt;0),IF(-(AB17/AA17-1)*100&lt;-100,"(&gt;100)",-(AB17/AA17-1)*100),IF((AB17/AA17-1)*100&gt;100,"&gt;100",(AB17/AA17-1)*100))))</f>
        <v>41.37931034482758</v>
      </c>
      <c r="AD17" s="121">
        <f>IF(AND(AB17=0,X17=0),0,IF(OR(AND(AB17&gt;0,X17&lt;=0),AND(AB17&lt;0,X17&gt;=0)),"nm",IF(AND(AB17&lt;0,X17&lt;0),IF(-(AB17/X17-1)*100&lt;-100,"(&gt;100)",-(AB17/X17-1)*100),IF((AB17/X17-1)*100&gt;100,"&gt;100",(AB17/X17-1)*100))))</f>
        <v>-36.92307692307693</v>
      </c>
      <c r="AF17" s="121">
        <v>139</v>
      </c>
      <c r="AG17" s="122">
        <f>Z17+AA17+AB17</f>
        <v>88</v>
      </c>
      <c r="AH17" s="121">
        <f>IF(AND(AG17=0,AF17=0),0,IF(OR(AND(AG17&gt;0,AF17&lt;=0),AND(AG17&lt;0,AF17&gt;=0)),"nm",IF(AND(AG17&lt;0,AF17&lt;0),IF(-(AG17/AF17-1)*100&lt;-100,"(&gt;100)",-(AG17/AF17-1)*100),IF((AG17/AF17-1)*100&gt;100,"&gt;100",(AG17/AF17-1)*100))))</f>
        <v>-36.69064748201439</v>
      </c>
      <c r="AI17" s="121">
        <f>V17+W17</f>
        <v>80</v>
      </c>
      <c r="AJ17" s="122">
        <f>Z17+AA17</f>
        <v>47</v>
      </c>
      <c r="AK17" s="121">
        <f>IF(AND(AJ17=0,AI17=0),0,IF(OR(AND(AJ17&gt;0,AI17&lt;=0),AND(AJ17&lt;0,AI17&gt;=0)),"nm",IF(AND(AJ17&lt;0,AI17&lt;0),IF(-(AJ17/AI17-1)*100&lt;-100,"(&gt;100)",-(AJ17/AI17-1)*100),IF((AJ17/AI17-1)*100&gt;100,"&gt;100",(AJ17/AI17-1)*100))))</f>
        <v>-41.25</v>
      </c>
    </row>
    <row r="18" spans="2:37" ht="14.25">
      <c r="B18" s="38" t="s">
        <v>70</v>
      </c>
      <c r="D18" s="121">
        <v>95</v>
      </c>
      <c r="E18" s="121">
        <v>113</v>
      </c>
      <c r="F18" s="121">
        <v>116</v>
      </c>
      <c r="G18" s="121">
        <v>103</v>
      </c>
      <c r="H18" s="121">
        <v>122</v>
      </c>
      <c r="J18" s="121">
        <v>22</v>
      </c>
      <c r="K18" s="121">
        <v>21</v>
      </c>
      <c r="L18" s="75">
        <f>45-1</f>
        <v>44</v>
      </c>
      <c r="M18" s="121">
        <v>26</v>
      </c>
      <c r="N18" s="75">
        <v>28</v>
      </c>
      <c r="O18" s="75">
        <v>26</v>
      </c>
      <c r="P18" s="75">
        <v>25</v>
      </c>
      <c r="Q18" s="75">
        <v>37</v>
      </c>
      <c r="R18" s="75">
        <v>26</v>
      </c>
      <c r="S18" s="75">
        <v>27</v>
      </c>
      <c r="T18" s="75">
        <v>22</v>
      </c>
      <c r="U18" s="75">
        <v>28</v>
      </c>
      <c r="V18" s="426">
        <f>26+1</f>
        <v>27</v>
      </c>
      <c r="W18" s="426">
        <f>29+1</f>
        <v>30</v>
      </c>
      <c r="X18" s="426">
        <f>30+1</f>
        <v>31</v>
      </c>
      <c r="Y18" s="426">
        <f>37+2</f>
        <v>39</v>
      </c>
      <c r="Z18" s="121">
        <v>42</v>
      </c>
      <c r="AA18" s="121">
        <v>41</v>
      </c>
      <c r="AB18" s="122">
        <v>41</v>
      </c>
      <c r="AC18" s="121">
        <f>IF(AND(AB18=0,AB18=0),0,IF(OR(AND(AB18&gt;0,AA18&lt;=0),AND(AB18&lt;0,AA18&gt;=0)),"nm",IF(AND(AB18&lt;0,AA18&lt;0),IF(-(AB18/AA18-1)*100&lt;-100,"(&gt;100)",-(AB18/AA18-1)*100),IF((AB18/AA18-1)*100&gt;100,"&gt;100",(AB18/AA18-1)*100))))</f>
        <v>0</v>
      </c>
      <c r="AD18" s="121">
        <f>IF(AND(AB18=0,X18=0),0,IF(OR(AND(AB18&gt;0,X18&lt;=0),AND(AB18&lt;0,X18&gt;=0)),"nm",IF(AND(AB18&lt;0,X18&lt;0),IF(-(AB18/X18-1)*100&lt;-100,"(&gt;100)",-(AB18/X18-1)*100),IF((AB18/X18-1)*100&gt;100,"&gt;100",(AB18/X18-1)*100))))</f>
        <v>32.258064516129025</v>
      </c>
      <c r="AF18" s="121">
        <v>85</v>
      </c>
      <c r="AG18" s="122">
        <f>Z18+AA18+AB18</f>
        <v>124</v>
      </c>
      <c r="AH18" s="121">
        <f>IF(AND(AG18=0,AF18=0),0,IF(OR(AND(AG18&gt;0,AF18&lt;=0),AND(AG18&lt;0,AF18&gt;=0)),"nm",IF(AND(AG18&lt;0,AF18&lt;0),IF(-(AG18/AF18-1)*100&lt;-100,"(&gt;100)",-(AG18/AF18-1)*100),IF((AG18/AF18-1)*100&gt;100,"&gt;100",(AG18/AF18-1)*100))))</f>
        <v>45.882352941176464</v>
      </c>
      <c r="AI18" s="121">
        <f>V18+W18</f>
        <v>57</v>
      </c>
      <c r="AJ18" s="122">
        <f>Z18+AA18</f>
        <v>83</v>
      </c>
      <c r="AK18" s="121">
        <f>IF(AND(AJ18=0,AI18=0),0,IF(OR(AND(AJ18&gt;0,AI18&lt;=0),AND(AJ18&lt;0,AI18&gt;=0)),"nm",IF(AND(AJ18&lt;0,AI18&lt;0),IF(-(AJ18/AI18-1)*100&lt;-100,"(&gt;100)",-(AJ18/AI18-1)*100),IF((AJ18/AI18-1)*100&gt;100,"&gt;100",(AJ18/AI18-1)*100))))</f>
        <v>45.61403508771931</v>
      </c>
    </row>
    <row r="19" spans="12:33" ht="14.25">
      <c r="L19" s="75"/>
      <c r="N19" s="171"/>
      <c r="O19" s="171"/>
      <c r="P19" s="171"/>
      <c r="Q19" s="171"/>
      <c r="R19" s="171"/>
      <c r="S19" s="171"/>
      <c r="T19" s="171"/>
      <c r="U19" s="171"/>
      <c r="V19" s="171"/>
      <c r="W19" s="171"/>
      <c r="X19" s="171"/>
      <c r="Y19" s="171"/>
      <c r="AB19" s="489"/>
      <c r="AG19" s="489"/>
    </row>
    <row r="20" ht="14.25">
      <c r="AG20" s="119"/>
    </row>
    <row r="21" spans="2:33" ht="14.25">
      <c r="B21" s="430" t="s">
        <v>407</v>
      </c>
      <c r="AG21" s="119"/>
    </row>
    <row r="22" spans="2:28" ht="14.25">
      <c r="B22" s="430" t="s">
        <v>408</v>
      </c>
      <c r="Z22" s="355"/>
      <c r="AA22" s="355"/>
      <c r="AB22" s="352"/>
    </row>
    <row r="23" spans="26:28" ht="14.25">
      <c r="Z23" s="355"/>
      <c r="AA23" s="355"/>
      <c r="AB23" s="352"/>
    </row>
    <row r="24" spans="26:28" ht="14.25">
      <c r="Z24" s="355"/>
      <c r="AA24" s="355"/>
      <c r="AB24" s="352"/>
    </row>
    <row r="25" spans="26:28" ht="14.25">
      <c r="Z25" s="355"/>
      <c r="AA25" s="355"/>
      <c r="AB25" s="352"/>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6" r:id="rId1"/>
  <ignoredErrors>
    <ignoredError sqref="AI11:AJ16 AI5 AI6 AI4 AI7 AI8 AI9 AI10 AJ4:AJ10 AI19:AJ23" formulaRange="1"/>
  </ignoredErrors>
</worksheet>
</file>

<file path=xl/worksheets/sheet2.xml><?xml version="1.0" encoding="utf-8"?>
<worksheet xmlns="http://schemas.openxmlformats.org/spreadsheetml/2006/main" xmlns:r="http://schemas.openxmlformats.org/officeDocument/2006/relationships">
  <sheetPr>
    <tabColor indexed="43"/>
    <pageSetUpPr fitToPage="1"/>
  </sheetPr>
  <dimension ref="A1:AL45"/>
  <sheetViews>
    <sheetView zoomScale="80" zoomScaleNormal="80" zoomScalePageLayoutView="0" workbookViewId="0" topLeftCell="A1">
      <pane xSplit="3" ySplit="2" topLeftCell="W18" activePane="bottomRight" state="frozen"/>
      <selection pane="topLeft" activeCell="P25" sqref="P25"/>
      <selection pane="topRight" activeCell="P25" sqref="P25"/>
      <selection pane="bottomLeft" activeCell="P25" sqref="P25"/>
      <selection pane="bottomRight" activeCell="AD28" sqref="AD28"/>
    </sheetView>
  </sheetViews>
  <sheetFormatPr defaultColWidth="9.140625" defaultRowHeight="12.75" outlineLevelCol="1"/>
  <cols>
    <col min="1" max="1" width="2.7109375" style="22" customWidth="1"/>
    <col min="2" max="2" width="38.28125" style="10" customWidth="1"/>
    <col min="3" max="3" width="1.421875" style="10" customWidth="1"/>
    <col min="4" max="8" width="10.00390625" style="75" hidden="1" customWidth="1" outlineLevel="1"/>
    <col min="9" max="9" width="2.57421875" style="75" hidden="1" customWidth="1" outlineLevel="1"/>
    <col min="10" max="10" width="10.00390625" style="75" hidden="1" customWidth="1" outlineLevel="1"/>
    <col min="11" max="18" width="9.8515625" style="75" hidden="1" customWidth="1" outlineLevel="1"/>
    <col min="19" max="19" width="9.8515625" style="75" hidden="1" customWidth="1" outlineLevel="1" collapsed="1"/>
    <col min="20" max="21" width="9.8515625" style="75" hidden="1" customWidth="1" outlineLevel="1"/>
    <col min="22" max="22" width="9.8515625" style="75" customWidth="1" collapsed="1"/>
    <col min="23" max="25" width="9.8515625" style="75" customWidth="1"/>
    <col min="26" max="26" width="9.8515625" style="75" bestFit="1" customWidth="1"/>
    <col min="27" max="27" width="9.8515625" style="75" customWidth="1"/>
    <col min="28" max="28" width="9.8515625" style="119" customWidth="1"/>
    <col min="29" max="29" width="7.8515625" style="75" customWidth="1"/>
    <col min="30" max="30" width="8.7109375" style="75" bestFit="1" customWidth="1"/>
    <col min="31" max="31" width="3.57421875" style="75" customWidth="1"/>
    <col min="32" max="32" width="12.421875" style="131" customWidth="1"/>
    <col min="33" max="33" width="9.28125" style="119" customWidth="1"/>
    <col min="34" max="34" width="8.57421875" style="75" customWidth="1"/>
    <col min="35" max="35" width="9.140625" style="22" customWidth="1"/>
    <col min="36" max="36" width="9.8515625" style="121" hidden="1" customWidth="1"/>
    <col min="37" max="37" width="10.28125" style="122" hidden="1" customWidth="1"/>
    <col min="38" max="38" width="8.57421875" style="121" hidden="1" customWidth="1"/>
    <col min="39" max="16384" width="9.140625" style="22" customWidth="1"/>
  </cols>
  <sheetData>
    <row r="1" spans="1:38" s="42" customFormat="1" ht="20.25">
      <c r="A1" s="41" t="s">
        <v>51</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551"/>
      <c r="AG1" s="124"/>
      <c r="AH1" s="124"/>
      <c r="AJ1" s="124"/>
      <c r="AK1" s="124"/>
      <c r="AL1" s="124"/>
    </row>
    <row r="2" spans="1:38" s="286" customFormat="1" ht="45">
      <c r="A2" s="590" t="s">
        <v>80</v>
      </c>
      <c r="B2" s="590"/>
      <c r="C2" s="590"/>
      <c r="D2" s="285" t="s">
        <v>60</v>
      </c>
      <c r="E2" s="285" t="s">
        <v>231</v>
      </c>
      <c r="F2" s="285" t="s">
        <v>346</v>
      </c>
      <c r="G2" s="285" t="s">
        <v>362</v>
      </c>
      <c r="H2" s="285" t="s">
        <v>383</v>
      </c>
      <c r="I2" s="285"/>
      <c r="J2" s="285" t="s">
        <v>2</v>
      </c>
      <c r="K2" s="285" t="s">
        <v>3</v>
      </c>
      <c r="L2" s="285" t="s">
        <v>4</v>
      </c>
      <c r="M2" s="285" t="s">
        <v>230</v>
      </c>
      <c r="N2" s="285" t="s">
        <v>330</v>
      </c>
      <c r="O2" s="285" t="s">
        <v>334</v>
      </c>
      <c r="P2" s="285" t="s">
        <v>341</v>
      </c>
      <c r="Q2" s="285" t="s">
        <v>345</v>
      </c>
      <c r="R2" s="285" t="s">
        <v>349</v>
      </c>
      <c r="S2" s="285" t="s">
        <v>353</v>
      </c>
      <c r="T2" s="285" t="s">
        <v>357</v>
      </c>
      <c r="U2" s="285" t="s">
        <v>361</v>
      </c>
      <c r="V2" s="285" t="s">
        <v>363</v>
      </c>
      <c r="W2" s="285" t="s">
        <v>374</v>
      </c>
      <c r="X2" s="285" t="s">
        <v>380</v>
      </c>
      <c r="Y2" s="285" t="s">
        <v>384</v>
      </c>
      <c r="Z2" s="285" t="s">
        <v>387</v>
      </c>
      <c r="AA2" s="285" t="s">
        <v>411</v>
      </c>
      <c r="AB2" s="285" t="s">
        <v>431</v>
      </c>
      <c r="AC2" s="285" t="s">
        <v>432</v>
      </c>
      <c r="AD2" s="285" t="s">
        <v>433</v>
      </c>
      <c r="AE2" s="285"/>
      <c r="AF2" s="552" t="s">
        <v>442</v>
      </c>
      <c r="AG2" s="285" t="s">
        <v>443</v>
      </c>
      <c r="AH2" s="285" t="s">
        <v>444</v>
      </c>
      <c r="AJ2" s="285" t="s">
        <v>416</v>
      </c>
      <c r="AK2" s="285" t="s">
        <v>417</v>
      </c>
      <c r="AL2" s="285" t="s">
        <v>418</v>
      </c>
    </row>
    <row r="3" spans="2:28" ht="6.75" customHeight="1">
      <c r="B3" s="26"/>
      <c r="C3" s="70"/>
      <c r="AB3" s="122"/>
    </row>
    <row r="4" spans="1:33" ht="15">
      <c r="A4" s="71" t="s">
        <v>103</v>
      </c>
      <c r="B4" s="22"/>
      <c r="C4" s="22"/>
      <c r="AA4" s="121"/>
      <c r="AB4" s="122"/>
      <c r="AG4" s="489"/>
    </row>
    <row r="5" spans="2:38" s="120" customFormat="1" ht="14.25">
      <c r="B5" s="33" t="s">
        <v>5</v>
      </c>
      <c r="C5" s="70"/>
      <c r="D5" s="75">
        <v>4301</v>
      </c>
      <c r="E5" s="75">
        <v>4455</v>
      </c>
      <c r="F5" s="75">
        <v>4318</v>
      </c>
      <c r="G5" s="75">
        <v>4825</v>
      </c>
      <c r="H5" s="121">
        <v>5285</v>
      </c>
      <c r="I5" s="75"/>
      <c r="J5" s="75">
        <v>1076</v>
      </c>
      <c r="K5" s="72">
        <v>1112</v>
      </c>
      <c r="L5" s="72">
        <v>1140</v>
      </c>
      <c r="M5" s="72">
        <v>1127</v>
      </c>
      <c r="N5" s="72">
        <v>1066</v>
      </c>
      <c r="O5" s="72">
        <v>1067</v>
      </c>
      <c r="P5" s="72">
        <v>1079</v>
      </c>
      <c r="Q5" s="72">
        <v>1106</v>
      </c>
      <c r="R5" s="131">
        <v>1122</v>
      </c>
      <c r="S5" s="131">
        <v>1199</v>
      </c>
      <c r="T5" s="131">
        <v>1214</v>
      </c>
      <c r="U5" s="131">
        <v>1290</v>
      </c>
      <c r="V5" s="131">
        <v>1336</v>
      </c>
      <c r="W5" s="131">
        <v>1324</v>
      </c>
      <c r="X5" s="131">
        <v>1332</v>
      </c>
      <c r="Y5" s="131">
        <v>1293</v>
      </c>
      <c r="Z5" s="140">
        <v>1327</v>
      </c>
      <c r="AA5" s="140">
        <v>1382</v>
      </c>
      <c r="AB5" s="153">
        <v>1406</v>
      </c>
      <c r="AC5" s="121">
        <f>IF(AND(AB5=0,AB5=0),0,IF(OR(AND(AB5&gt;0,AA5&lt;=0),AND(AB5&lt;0,AA5&gt;=0)),"nm",IF(AND(AB5&lt;0,AA5&lt;0),IF(-(AB5/AA5-1)*100&lt;-100,"(&gt;100)",-(AB5/AA5-1)*100),IF((AB5/AA5-1)*100&gt;100,"&gt;100",(AB5/AA5-1)*100))))</f>
        <v>1.736613603473236</v>
      </c>
      <c r="AD5" s="121">
        <f>IF(AND(AB5=0,X5=0),0,IF(OR(AND(AB5&gt;0,X5&lt;=0),AND(AB5&lt;0,X5&gt;=0)),"nm",IF(AND(AB5&lt;0,X5&lt;0),IF(-(AB5/X5-1)*100&lt;-100,"(&gt;100)",-(AB5/X5-1)*100),IF((AB5/X5-1)*100&gt;100,"&gt;100",(AB5/X5-1)*100))))</f>
        <v>5.555555555555558</v>
      </c>
      <c r="AE5" s="121"/>
      <c r="AF5" s="247">
        <v>3992</v>
      </c>
      <c r="AG5" s="367">
        <f>SUM(Z5:AB5)</f>
        <v>4115</v>
      </c>
      <c r="AH5" s="75">
        <f>IF(AND(AG5=0,AF5=0),0,IF(OR(AND(AG5&gt;0,AF5&lt;=0),AND(AG5&lt;0,AF5&gt;=0)),"nm",IF(AND(AG5&lt;0,AF5&lt;0),IF(-(AG5/AF5-1)*100&lt;-100,"(&gt;100)",-(AG5/AF5-1)*100),IF((AG5/AF5-1)*100&gt;100,"&gt;100",(AG5/AF5-1)*100))))</f>
        <v>3.0811623246493003</v>
      </c>
      <c r="AJ5" s="306">
        <v>2660</v>
      </c>
      <c r="AK5" s="367">
        <f>AA5+AB5</f>
        <v>2788</v>
      </c>
      <c r="AL5" s="121">
        <f>IF(AND(AK5=0,AJ5=0),0,IF(OR(AND(AK5&gt;0,AJ5&lt;=0),AND(AK5&lt;0,AJ5&gt;=0)),"nm",IF(AND(AK5&lt;0,AJ5&lt;0),IF(-(AK5/AJ5-1)*100&lt;-100,"(&gt;100)",-(AK5/AJ5-1)*100),IF((AK5/AJ5-1)*100&gt;100,"&gt;100",(AK5/AJ5-1)*100))))</f>
        <v>4.8120300751879785</v>
      </c>
    </row>
    <row r="6" spans="2:38" s="120" customFormat="1" ht="14.25">
      <c r="B6" s="33" t="s">
        <v>242</v>
      </c>
      <c r="C6" s="70"/>
      <c r="D6" s="75">
        <v>1274</v>
      </c>
      <c r="E6" s="75">
        <v>1394</v>
      </c>
      <c r="F6" s="75">
        <v>1397</v>
      </c>
      <c r="G6" s="75">
        <v>1542</v>
      </c>
      <c r="H6" s="121">
        <v>1579</v>
      </c>
      <c r="I6" s="75"/>
      <c r="J6" s="75">
        <v>317</v>
      </c>
      <c r="K6" s="72">
        <v>358</v>
      </c>
      <c r="L6" s="72">
        <v>361</v>
      </c>
      <c r="M6" s="72">
        <v>358</v>
      </c>
      <c r="N6" s="72">
        <v>341</v>
      </c>
      <c r="O6" s="72">
        <v>358</v>
      </c>
      <c r="P6" s="72">
        <v>340</v>
      </c>
      <c r="Q6" s="72">
        <v>358</v>
      </c>
      <c r="R6" s="131">
        <v>416</v>
      </c>
      <c r="S6" s="131">
        <v>387</v>
      </c>
      <c r="T6" s="131">
        <v>397</v>
      </c>
      <c r="U6" s="131">
        <v>342</v>
      </c>
      <c r="V6" s="131">
        <v>406</v>
      </c>
      <c r="W6" s="131">
        <v>379</v>
      </c>
      <c r="X6" s="131">
        <v>422</v>
      </c>
      <c r="Y6" s="131">
        <v>372</v>
      </c>
      <c r="Z6" s="140">
        <v>507</v>
      </c>
      <c r="AA6" s="140">
        <v>477</v>
      </c>
      <c r="AB6" s="153">
        <v>462</v>
      </c>
      <c r="AC6" s="121">
        <f aca="true" t="shared" si="0" ref="AC6:AC16">IF(AND(AB6=0,AB6=0),0,IF(OR(AND(AB6&gt;0,AA6&lt;=0),AND(AB6&lt;0,AA6&gt;=0)),"nm",IF(AND(AB6&lt;0,AA6&lt;0),IF(-(AB6/AA6-1)*100&lt;-100,"(&gt;100)",-(AB6/AA6-1)*100),IF((AB6/AA6-1)*100&gt;100,"&gt;100",(AB6/AA6-1)*100))))</f>
        <v>-3.1446540880503138</v>
      </c>
      <c r="AD6" s="121">
        <f aca="true" t="shared" si="1" ref="AD6:AD16">IF(AND(AB6=0,X6=0),0,IF(OR(AND(AB6&gt;0,X6&lt;=0),AND(AB6&lt;0,X6&gt;=0)),"nm",IF(AND(AB6&lt;0,X6&lt;0),IF(-(AB6/X6-1)*100&lt;-100,"(&gt;100)",-(AB6/X6-1)*100),IF((AB6/X6-1)*100&gt;100,"&gt;100",(AB6/X6-1)*100))))</f>
        <v>9.478672985782</v>
      </c>
      <c r="AE6" s="121"/>
      <c r="AF6" s="247">
        <v>1207</v>
      </c>
      <c r="AG6" s="367">
        <f aca="true" t="shared" si="2" ref="AG6:AG16">SUM(Z6:AB6)</f>
        <v>1446</v>
      </c>
      <c r="AH6" s="75">
        <f>IF(AND(AG6=0,AF6=0),0,IF(OR(AND(AG6&gt;0,AF6&lt;=0),AND(AG6&lt;0,AF6&gt;=0)),"nm",IF(AND(AG6&lt;0,AF6&lt;0),IF(-(AG6/AF6-1)*100&lt;-100,"(&gt;100)",-(AG6/AF6-1)*100),IF((AG6/AF6-1)*100&gt;100,"&gt;100",(AG6/AF6-1)*100))))</f>
        <v>19.801159900579957</v>
      </c>
      <c r="AJ6" s="306">
        <v>785</v>
      </c>
      <c r="AK6" s="367">
        <f aca="true" t="shared" si="3" ref="AK6:AK15">Z6+AA6</f>
        <v>984</v>
      </c>
      <c r="AL6" s="121">
        <f>IF(AND(AK6=0,AJ6=0),0,IF(OR(AND(AK6&gt;0,AJ6&lt;=0),AND(AK6&lt;0,AJ6&gt;=0)),"nm",IF(AND(AK6&lt;0,AJ6&lt;0),IF(-(AK6/AJ6-1)*100&lt;-100,"(&gt;100)",-(AK6/AJ6-1)*100),IF((AK6/AJ6-1)*100&gt;100,"&gt;100",(AK6/AJ6-1)*100))))</f>
        <v>25.350318471337573</v>
      </c>
    </row>
    <row r="7" spans="2:38" s="120" customFormat="1" ht="14.25">
      <c r="B7" s="120" t="s">
        <v>342</v>
      </c>
      <c r="C7" s="33"/>
      <c r="D7" s="75">
        <v>456</v>
      </c>
      <c r="E7" s="75">
        <v>754</v>
      </c>
      <c r="F7" s="75">
        <v>1351</v>
      </c>
      <c r="G7" s="75">
        <v>1264</v>
      </c>
      <c r="H7" s="121">
        <v>1200</v>
      </c>
      <c r="I7" s="75"/>
      <c r="J7" s="75">
        <v>269</v>
      </c>
      <c r="K7" s="72">
        <v>322</v>
      </c>
      <c r="L7" s="72">
        <v>76</v>
      </c>
      <c r="M7" s="72">
        <v>87</v>
      </c>
      <c r="N7" s="72">
        <v>306</v>
      </c>
      <c r="O7" s="72">
        <v>390</v>
      </c>
      <c r="P7" s="72">
        <v>390</v>
      </c>
      <c r="Q7" s="72">
        <v>265</v>
      </c>
      <c r="R7" s="131">
        <v>371</v>
      </c>
      <c r="S7" s="131">
        <v>252</v>
      </c>
      <c r="T7" s="131">
        <v>357</v>
      </c>
      <c r="U7" s="131">
        <v>284</v>
      </c>
      <c r="V7" s="131">
        <v>414</v>
      </c>
      <c r="W7" s="131">
        <v>242</v>
      </c>
      <c r="X7" s="131">
        <v>250</v>
      </c>
      <c r="Y7" s="131">
        <v>294</v>
      </c>
      <c r="Z7" s="140">
        <v>483</v>
      </c>
      <c r="AA7" s="140">
        <v>450</v>
      </c>
      <c r="AB7" s="153">
        <v>282</v>
      </c>
      <c r="AC7" s="121">
        <f t="shared" si="0"/>
        <v>-37.33333333333333</v>
      </c>
      <c r="AD7" s="121">
        <f t="shared" si="1"/>
        <v>12.79999999999999</v>
      </c>
      <c r="AE7" s="121"/>
      <c r="AF7" s="247">
        <v>906</v>
      </c>
      <c r="AG7" s="367">
        <f t="shared" si="2"/>
        <v>1215</v>
      </c>
      <c r="AH7" s="75">
        <f aca="true" t="shared" si="4" ref="AH7:AH16">IF(AND(AG7=0,AF7=0),0,IF(OR(AND(AG7&gt;0,AF7&lt;=0),AND(AG7&lt;0,AF7&gt;=0)),"nm",IF(AND(AG7&lt;0,AF7&lt;0),IF(-(AG7/AF7-1)*100&lt;-100,"(&gt;100)",-(AG7/AF7-1)*100),IF((AG7/AF7-1)*100&gt;100,"&gt;100",(AG7/AF7-1)*100))))</f>
        <v>34.10596026490067</v>
      </c>
      <c r="AJ7" s="306">
        <v>656</v>
      </c>
      <c r="AK7" s="367">
        <f t="shared" si="3"/>
        <v>933</v>
      </c>
      <c r="AL7" s="121">
        <f aca="true" t="shared" si="5" ref="AL7:AL16">IF(AND(AK7=0,AJ7=0),0,IF(OR(AND(AK7&gt;0,AJ7&lt;=0),AND(AK7&lt;0,AJ7&gt;=0)),"nm",IF(AND(AK7&lt;0,AJ7&lt;0),IF(-(AK7/AJ7-1)*100&lt;-100,"(&gt;100)",-(AK7/AJ7-1)*100),IF((AK7/AJ7-1)*100&gt;100,"&gt;100",(AK7/AJ7-1)*100))))</f>
        <v>42.22560975609757</v>
      </c>
    </row>
    <row r="8" spans="2:38" s="120" customFormat="1" ht="14.25">
      <c r="B8" s="33" t="s">
        <v>6</v>
      </c>
      <c r="C8" s="70"/>
      <c r="D8" s="75">
        <v>6031</v>
      </c>
      <c r="E8" s="75">
        <v>6603</v>
      </c>
      <c r="F8" s="75">
        <v>7066</v>
      </c>
      <c r="G8" s="75">
        <v>7631</v>
      </c>
      <c r="H8" s="121">
        <v>8064</v>
      </c>
      <c r="I8" s="75"/>
      <c r="J8" s="75">
        <v>1662</v>
      </c>
      <c r="K8" s="72">
        <v>1792</v>
      </c>
      <c r="L8" s="72">
        <v>1577</v>
      </c>
      <c r="M8" s="72">
        <v>1572</v>
      </c>
      <c r="N8" s="72">
        <v>1713</v>
      </c>
      <c r="O8" s="72">
        <v>1815</v>
      </c>
      <c r="P8" s="72">
        <v>1809</v>
      </c>
      <c r="Q8" s="72">
        <v>1729</v>
      </c>
      <c r="R8" s="131">
        <v>1909</v>
      </c>
      <c r="S8" s="131">
        <v>1838</v>
      </c>
      <c r="T8" s="131">
        <v>1968</v>
      </c>
      <c r="U8" s="131">
        <v>1916</v>
      </c>
      <c r="V8" s="131">
        <v>2156</v>
      </c>
      <c r="W8" s="131">
        <v>1945</v>
      </c>
      <c r="X8" s="131">
        <v>2004</v>
      </c>
      <c r="Y8" s="131">
        <v>1959</v>
      </c>
      <c r="Z8" s="140">
        <f>SUM(Z5:Z7)</f>
        <v>2317</v>
      </c>
      <c r="AA8" s="140">
        <f>SUM(AA5:AA7)</f>
        <v>2309</v>
      </c>
      <c r="AB8" s="153">
        <f>SUM(AB5:AB7)</f>
        <v>2150</v>
      </c>
      <c r="AC8" s="140">
        <f t="shared" si="0"/>
        <v>-6.886097877869213</v>
      </c>
      <c r="AD8" s="121">
        <f t="shared" si="1"/>
        <v>7.285429141716571</v>
      </c>
      <c r="AE8" s="121"/>
      <c r="AF8" s="247">
        <v>6105</v>
      </c>
      <c r="AG8" s="367">
        <f t="shared" si="2"/>
        <v>6776</v>
      </c>
      <c r="AH8" s="75">
        <f>IF(AND(AG8=0,AF8=0),0,IF(OR(AND(AG8&gt;0,AF8&lt;=0),AND(AG8&lt;0,AF8&gt;=0)),"nm",IF(AND(AG8&lt;0,AF8&lt;0),IF(-(AG8/AF8-1)*100&lt;-100,"(&gt;100)",-(AG8/AF8-1)*100),IF((AG8/AF8-1)*100&gt;100,"&gt;100",(AG8/AF8-1)*100))))</f>
        <v>10.99099099099099</v>
      </c>
      <c r="AJ8" s="306">
        <v>4101</v>
      </c>
      <c r="AK8" s="153">
        <f>SUM(AK5:AK7)</f>
        <v>4705</v>
      </c>
      <c r="AL8" s="121">
        <f>IF(AND(AK8=0,AJ8=0),0,IF(OR(AND(AK8&gt;0,AJ8&lt;=0),AND(AK8&lt;0,AJ8&gt;=0)),"nm",IF(AND(AK8&lt;0,AJ8&lt;0),IF(-(AK8/AJ8-1)*100&lt;-100,"(&gt;100)",-(AK8/AJ8-1)*100),IF((AK8/AJ8-1)*100&gt;100,"&gt;100",(AK8/AJ8-1)*100))))</f>
        <v>14.728115093879545</v>
      </c>
    </row>
    <row r="9" spans="2:38" s="120" customFormat="1" ht="14.25">
      <c r="B9" s="33" t="s">
        <v>0</v>
      </c>
      <c r="C9" s="33"/>
      <c r="D9" s="75">
        <v>2610</v>
      </c>
      <c r="E9" s="75">
        <v>2604</v>
      </c>
      <c r="F9" s="75">
        <v>2925</v>
      </c>
      <c r="G9" s="75">
        <v>3303</v>
      </c>
      <c r="H9" s="121">
        <v>3614</v>
      </c>
      <c r="I9" s="75"/>
      <c r="J9" s="75">
        <v>638</v>
      </c>
      <c r="K9" s="72">
        <v>631</v>
      </c>
      <c r="L9" s="72">
        <v>635</v>
      </c>
      <c r="M9" s="72">
        <v>700</v>
      </c>
      <c r="N9" s="72">
        <v>702</v>
      </c>
      <c r="O9" s="72">
        <v>717</v>
      </c>
      <c r="P9" s="72">
        <v>726</v>
      </c>
      <c r="Q9" s="72">
        <v>780</v>
      </c>
      <c r="R9" s="131">
        <v>773</v>
      </c>
      <c r="S9" s="131">
        <v>798</v>
      </c>
      <c r="T9" s="131">
        <v>847</v>
      </c>
      <c r="U9" s="131">
        <v>885</v>
      </c>
      <c r="V9" s="131">
        <v>898</v>
      </c>
      <c r="W9" s="131">
        <v>872</v>
      </c>
      <c r="X9" s="131">
        <v>901</v>
      </c>
      <c r="Y9" s="131">
        <v>943</v>
      </c>
      <c r="Z9" s="140">
        <v>952</v>
      </c>
      <c r="AA9" s="140">
        <v>987</v>
      </c>
      <c r="AB9" s="153">
        <v>949</v>
      </c>
      <c r="AC9" s="121">
        <f t="shared" si="0"/>
        <v>-3.8500506585612992</v>
      </c>
      <c r="AD9" s="121">
        <f t="shared" si="1"/>
        <v>5.327413984461704</v>
      </c>
      <c r="AE9" s="121"/>
      <c r="AF9" s="247">
        <v>2671</v>
      </c>
      <c r="AG9" s="367">
        <f t="shared" si="2"/>
        <v>2888</v>
      </c>
      <c r="AH9" s="75">
        <f t="shared" si="4"/>
        <v>8.124298015724452</v>
      </c>
      <c r="AJ9" s="306">
        <v>1770</v>
      </c>
      <c r="AK9" s="367">
        <f t="shared" si="3"/>
        <v>1939</v>
      </c>
      <c r="AL9" s="121">
        <f t="shared" si="5"/>
        <v>9.548022598870066</v>
      </c>
    </row>
    <row r="10" spans="2:38" s="120" customFormat="1" ht="14.25">
      <c r="B10" s="33" t="s">
        <v>7</v>
      </c>
      <c r="C10" s="70"/>
      <c r="D10" s="75">
        <v>3421</v>
      </c>
      <c r="E10" s="75">
        <v>3999</v>
      </c>
      <c r="F10" s="75">
        <v>4141</v>
      </c>
      <c r="G10" s="75">
        <v>4328</v>
      </c>
      <c r="H10" s="121">
        <v>4450</v>
      </c>
      <c r="I10" s="75"/>
      <c r="J10" s="75">
        <v>1024</v>
      </c>
      <c r="K10" s="72">
        <v>1161</v>
      </c>
      <c r="L10" s="72">
        <v>942</v>
      </c>
      <c r="M10" s="72">
        <v>872</v>
      </c>
      <c r="N10" s="72">
        <v>1011</v>
      </c>
      <c r="O10" s="72">
        <v>1098</v>
      </c>
      <c r="P10" s="72">
        <v>1083</v>
      </c>
      <c r="Q10" s="72">
        <v>949</v>
      </c>
      <c r="R10" s="131">
        <v>1136</v>
      </c>
      <c r="S10" s="131">
        <v>1040</v>
      </c>
      <c r="T10" s="131">
        <v>1121</v>
      </c>
      <c r="U10" s="131">
        <v>1031</v>
      </c>
      <c r="V10" s="131">
        <v>1258</v>
      </c>
      <c r="W10" s="131">
        <v>1073</v>
      </c>
      <c r="X10" s="131">
        <v>1103</v>
      </c>
      <c r="Y10" s="131">
        <v>1016</v>
      </c>
      <c r="Z10" s="140">
        <v>1365</v>
      </c>
      <c r="AA10" s="140">
        <v>1322</v>
      </c>
      <c r="AB10" s="153">
        <f>AB8-AB9</f>
        <v>1201</v>
      </c>
      <c r="AC10" s="121">
        <f t="shared" si="0"/>
        <v>-9.152798789712557</v>
      </c>
      <c r="AD10" s="121">
        <f t="shared" si="1"/>
        <v>8.884859474161377</v>
      </c>
      <c r="AE10" s="121"/>
      <c r="AF10" s="247">
        <v>3434</v>
      </c>
      <c r="AG10" s="367">
        <f t="shared" si="2"/>
        <v>3888</v>
      </c>
      <c r="AH10" s="75">
        <f t="shared" si="4"/>
        <v>13.220733838089682</v>
      </c>
      <c r="AJ10" s="306">
        <v>2331</v>
      </c>
      <c r="AK10" s="367">
        <f>AK8-AK9</f>
        <v>2766</v>
      </c>
      <c r="AL10" s="121">
        <f t="shared" si="5"/>
        <v>18.661518661518663</v>
      </c>
    </row>
    <row r="11" spans="2:38" s="120" customFormat="1" ht="14.25">
      <c r="B11" s="33" t="s">
        <v>8</v>
      </c>
      <c r="C11" s="33"/>
      <c r="D11" s="75">
        <v>784</v>
      </c>
      <c r="E11" s="75">
        <v>1529</v>
      </c>
      <c r="F11" s="75">
        <v>911</v>
      </c>
      <c r="G11" s="75">
        <v>722</v>
      </c>
      <c r="H11" s="121">
        <v>417</v>
      </c>
      <c r="I11" s="75"/>
      <c r="J11" s="75">
        <v>414</v>
      </c>
      <c r="K11" s="72">
        <v>466</v>
      </c>
      <c r="L11" s="72">
        <v>265</v>
      </c>
      <c r="M11" s="72">
        <v>384</v>
      </c>
      <c r="N11" s="72">
        <v>355</v>
      </c>
      <c r="O11" s="72">
        <v>204</v>
      </c>
      <c r="P11" s="72">
        <v>195</v>
      </c>
      <c r="Q11" s="72">
        <v>157</v>
      </c>
      <c r="R11" s="131">
        <v>125</v>
      </c>
      <c r="S11" s="131">
        <v>137</v>
      </c>
      <c r="T11" s="131">
        <v>231</v>
      </c>
      <c r="U11" s="131">
        <v>229</v>
      </c>
      <c r="V11" s="131">
        <v>144</v>
      </c>
      <c r="W11" s="131">
        <v>104</v>
      </c>
      <c r="X11" s="131">
        <v>55</v>
      </c>
      <c r="Y11" s="131">
        <v>114</v>
      </c>
      <c r="Z11" s="140">
        <v>223</v>
      </c>
      <c r="AA11" s="140">
        <f>238+7</f>
        <v>245</v>
      </c>
      <c r="AB11" s="153">
        <v>151</v>
      </c>
      <c r="AC11" s="121">
        <f t="shared" si="0"/>
        <v>-38.36734693877551</v>
      </c>
      <c r="AD11" s="121" t="str">
        <f t="shared" si="1"/>
        <v>&gt;100</v>
      </c>
      <c r="AE11" s="121"/>
      <c r="AF11" s="247">
        <v>303</v>
      </c>
      <c r="AG11" s="367">
        <f t="shared" si="2"/>
        <v>619</v>
      </c>
      <c r="AH11" s="75" t="str">
        <f t="shared" si="4"/>
        <v>&gt;100</v>
      </c>
      <c r="AJ11" s="306">
        <v>248</v>
      </c>
      <c r="AK11" s="367">
        <f t="shared" si="3"/>
        <v>468</v>
      </c>
      <c r="AL11" s="121">
        <f t="shared" si="5"/>
        <v>88.70967741935485</v>
      </c>
    </row>
    <row r="12" spans="2:38" s="120" customFormat="1" ht="14.25">
      <c r="B12" s="33" t="s">
        <v>9</v>
      </c>
      <c r="C12" s="33"/>
      <c r="D12" s="75">
        <v>2712</v>
      </c>
      <c r="E12" s="75">
        <v>2536</v>
      </c>
      <c r="F12" s="75">
        <v>3332</v>
      </c>
      <c r="G12" s="75">
        <v>3733</v>
      </c>
      <c r="H12" s="121">
        <v>4157</v>
      </c>
      <c r="I12" s="75"/>
      <c r="J12" s="75">
        <v>630</v>
      </c>
      <c r="K12" s="72">
        <v>708</v>
      </c>
      <c r="L12" s="72">
        <v>704</v>
      </c>
      <c r="M12" s="72">
        <v>494</v>
      </c>
      <c r="N12" s="72">
        <v>678</v>
      </c>
      <c r="O12" s="72">
        <v>919</v>
      </c>
      <c r="P12" s="72">
        <v>919</v>
      </c>
      <c r="Q12" s="72">
        <v>816</v>
      </c>
      <c r="R12" s="131">
        <v>1035</v>
      </c>
      <c r="S12" s="131">
        <v>934</v>
      </c>
      <c r="T12" s="131">
        <v>927</v>
      </c>
      <c r="U12" s="131">
        <v>837</v>
      </c>
      <c r="V12" s="131">
        <v>1153</v>
      </c>
      <c r="W12" s="131">
        <v>1005</v>
      </c>
      <c r="X12" s="131">
        <v>1076</v>
      </c>
      <c r="Y12" s="131">
        <v>923</v>
      </c>
      <c r="Z12" s="140">
        <v>1169</v>
      </c>
      <c r="AA12" s="140">
        <f>1106-7</f>
        <v>1099</v>
      </c>
      <c r="AB12" s="153">
        <v>1067</v>
      </c>
      <c r="AC12" s="121">
        <f t="shared" si="0"/>
        <v>-2.91173794358508</v>
      </c>
      <c r="AD12" s="121">
        <f t="shared" si="1"/>
        <v>-0.8364312267657992</v>
      </c>
      <c r="AE12" s="121"/>
      <c r="AF12" s="247">
        <v>3234</v>
      </c>
      <c r="AG12" s="367">
        <f t="shared" si="2"/>
        <v>3335</v>
      </c>
      <c r="AH12" s="75">
        <f t="shared" si="4"/>
        <v>3.123067408781699</v>
      </c>
      <c r="AJ12" s="306">
        <v>2158</v>
      </c>
      <c r="AK12" s="367">
        <f t="shared" si="3"/>
        <v>2268</v>
      </c>
      <c r="AL12" s="121">
        <f t="shared" si="5"/>
        <v>5.097312326227987</v>
      </c>
    </row>
    <row r="13" spans="2:38" s="120" customFormat="1" ht="14.25">
      <c r="B13" s="33" t="s">
        <v>343</v>
      </c>
      <c r="C13" s="33"/>
      <c r="D13" s="75">
        <v>2056</v>
      </c>
      <c r="E13" s="75">
        <v>2064</v>
      </c>
      <c r="F13" s="75">
        <v>2650</v>
      </c>
      <c r="G13" s="75">
        <v>3035</v>
      </c>
      <c r="H13" s="121">
        <v>3359</v>
      </c>
      <c r="I13" s="75"/>
      <c r="J13" s="75">
        <v>456</v>
      </c>
      <c r="K13" s="72">
        <v>552</v>
      </c>
      <c r="L13" s="72">
        <v>563</v>
      </c>
      <c r="M13" s="72">
        <v>493</v>
      </c>
      <c r="N13" s="72">
        <v>532</v>
      </c>
      <c r="O13" s="72">
        <v>718</v>
      </c>
      <c r="P13" s="72">
        <v>722</v>
      </c>
      <c r="Q13" s="72">
        <v>678</v>
      </c>
      <c r="R13" s="131">
        <v>807</v>
      </c>
      <c r="S13" s="131">
        <v>735</v>
      </c>
      <c r="T13" s="131">
        <v>762</v>
      </c>
      <c r="U13" s="131">
        <v>731</v>
      </c>
      <c r="V13" s="131">
        <v>933</v>
      </c>
      <c r="W13" s="131">
        <v>810</v>
      </c>
      <c r="X13" s="131">
        <v>856</v>
      </c>
      <c r="Y13" s="131">
        <v>760</v>
      </c>
      <c r="Z13" s="140">
        <v>950</v>
      </c>
      <c r="AA13" s="140">
        <f>893-6</f>
        <v>887</v>
      </c>
      <c r="AB13" s="153">
        <v>862</v>
      </c>
      <c r="AC13" s="121">
        <f t="shared" si="0"/>
        <v>-2.8184892897407</v>
      </c>
      <c r="AD13" s="121">
        <f t="shared" si="1"/>
        <v>0.7009345794392496</v>
      </c>
      <c r="AE13" s="121"/>
      <c r="AF13" s="247">
        <v>2599</v>
      </c>
      <c r="AG13" s="367">
        <f t="shared" si="2"/>
        <v>2699</v>
      </c>
      <c r="AH13" s="75">
        <f>IF(AND(AG13=0,AF13=0),0,IF(OR(AND(AG13&gt;0,AF13&lt;=0),AND(AG13&lt;0,AF13&gt;=0)),"nm",IF(AND(AG13&lt;0,AF13&lt;0),IF(-(AG13/AF13-1)*100&lt;-100,"(&gt;100)",-(AG13/AF13-1)*100),IF((AG13/AF13-1)*100&gt;100,"&gt;100",(AG13/AF13-1)*100))))</f>
        <v>3.8476337052712584</v>
      </c>
      <c r="AJ13" s="306">
        <v>1743</v>
      </c>
      <c r="AK13" s="367">
        <f t="shared" si="3"/>
        <v>1837</v>
      </c>
      <c r="AL13" s="121">
        <f>IF(AND(AK13=0,AJ13=0),0,IF(OR(AND(AK13&gt;0,AJ13&lt;=0),AND(AK13&lt;0,AJ13&gt;=0)),"nm",IF(AND(AK13&lt;0,AJ13&lt;0),IF(-(AK13/AJ13-1)*100&lt;-100,"(&gt;100)",-(AK13/AJ13-1)*100),IF((AK13/AJ13-1)*100&gt;100,"&gt;100",(AK13/AJ13-1)*100))))</f>
        <v>5.393000573723472</v>
      </c>
    </row>
    <row r="14" spans="2:38" s="120" customFormat="1" ht="14.25">
      <c r="B14" s="33" t="s">
        <v>337</v>
      </c>
      <c r="C14" s="33"/>
      <c r="D14" s="75">
        <v>0</v>
      </c>
      <c r="E14" s="75">
        <v>0</v>
      </c>
      <c r="F14" s="75">
        <v>-1018</v>
      </c>
      <c r="G14" s="75">
        <v>0</v>
      </c>
      <c r="H14" s="121">
        <v>0</v>
      </c>
      <c r="I14" s="75"/>
      <c r="J14" s="132">
        <v>0</v>
      </c>
      <c r="K14" s="257">
        <v>0</v>
      </c>
      <c r="L14" s="257">
        <v>0</v>
      </c>
      <c r="M14" s="257">
        <v>0</v>
      </c>
      <c r="N14" s="257">
        <v>0</v>
      </c>
      <c r="O14" s="257">
        <v>-1018</v>
      </c>
      <c r="P14" s="257">
        <v>0</v>
      </c>
      <c r="Q14" s="257">
        <v>0</v>
      </c>
      <c r="R14" s="132">
        <v>0</v>
      </c>
      <c r="S14" s="132">
        <v>0</v>
      </c>
      <c r="T14" s="132">
        <v>0</v>
      </c>
      <c r="U14" s="132">
        <v>0</v>
      </c>
      <c r="V14" s="484">
        <v>0</v>
      </c>
      <c r="W14" s="131">
        <v>0</v>
      </c>
      <c r="X14" s="131">
        <v>0</v>
      </c>
      <c r="Y14" s="131">
        <v>0</v>
      </c>
      <c r="Z14" s="140">
        <v>0</v>
      </c>
      <c r="AA14" s="140">
        <v>0</v>
      </c>
      <c r="AB14" s="153">
        <v>0</v>
      </c>
      <c r="AC14" s="140">
        <f t="shared" si="0"/>
        <v>0</v>
      </c>
      <c r="AD14" s="140">
        <f t="shared" si="1"/>
        <v>0</v>
      </c>
      <c r="AE14" s="121"/>
      <c r="AF14" s="247">
        <v>0</v>
      </c>
      <c r="AG14" s="367">
        <f t="shared" si="2"/>
        <v>0</v>
      </c>
      <c r="AH14" s="75">
        <f>IF(AND(AG14=0,AF14=0),0,IF(OR(AND(AG14&gt;0,AF14&lt;=0),AND(AG14&lt;0,AF14&gt;=0)),"nm",IF(AND(AG14&lt;0,AF14&lt;0),IF(-(AG14/AF14-1)*100&lt;-100,"(&gt;100)",-(AG14/AF14-1)*100),IF((AG14/AF14-1)*100&gt;100,"&gt;100",(AG14/AF14-1)*100))))</f>
        <v>0</v>
      </c>
      <c r="AJ14" s="320">
        <v>0</v>
      </c>
      <c r="AK14" s="367">
        <f t="shared" si="3"/>
        <v>0</v>
      </c>
      <c r="AL14" s="403">
        <f>IF(AND(AK14=0,AJ14=0),0,IF(OR(AND(AK14&gt;0,AJ14&lt;=0),AND(AK14&lt;0,AJ14&gt;=0)),"nm",IF(AND(AK14&lt;0,AJ14&lt;0),IF(-(AK14/AJ14-1)*100&lt;-100,"(&gt;100)",-(AK14/AJ14-1)*100),IF((AK14/AJ14-1)*100&gt;100,"&gt;100",(AK14/AJ14-1)*100))))</f>
        <v>0</v>
      </c>
    </row>
    <row r="15" spans="2:38" s="120" customFormat="1" ht="14.25">
      <c r="B15" s="33" t="s">
        <v>27</v>
      </c>
      <c r="C15" s="33"/>
      <c r="D15" s="75">
        <v>-127</v>
      </c>
      <c r="E15" s="75">
        <v>-23</v>
      </c>
      <c r="F15" s="75">
        <v>0</v>
      </c>
      <c r="G15" s="75">
        <v>0</v>
      </c>
      <c r="H15" s="121">
        <v>450</v>
      </c>
      <c r="I15" s="75"/>
      <c r="J15" s="75">
        <v>-23</v>
      </c>
      <c r="K15" s="257">
        <v>0</v>
      </c>
      <c r="L15" s="257">
        <v>0</v>
      </c>
      <c r="M15" s="257">
        <v>0</v>
      </c>
      <c r="N15" s="257">
        <v>0</v>
      </c>
      <c r="O15" s="257">
        <v>0</v>
      </c>
      <c r="P15" s="257">
        <v>0</v>
      </c>
      <c r="Q15" s="257">
        <v>0</v>
      </c>
      <c r="R15" s="132">
        <v>0</v>
      </c>
      <c r="S15" s="132">
        <v>0</v>
      </c>
      <c r="T15" s="132">
        <v>0</v>
      </c>
      <c r="U15" s="132">
        <v>0</v>
      </c>
      <c r="V15" s="484">
        <v>0</v>
      </c>
      <c r="W15" s="131">
        <v>0</v>
      </c>
      <c r="X15" s="131">
        <v>0</v>
      </c>
      <c r="Y15" s="131">
        <v>450</v>
      </c>
      <c r="Z15" s="140">
        <v>0</v>
      </c>
      <c r="AA15" s="140">
        <v>0</v>
      </c>
      <c r="AB15" s="153">
        <v>0</v>
      </c>
      <c r="AC15" s="140">
        <f t="shared" si="0"/>
        <v>0</v>
      </c>
      <c r="AD15" s="140">
        <f t="shared" si="1"/>
        <v>0</v>
      </c>
      <c r="AE15" s="121"/>
      <c r="AF15" s="247">
        <v>0</v>
      </c>
      <c r="AG15" s="367">
        <f t="shared" si="2"/>
        <v>0</v>
      </c>
      <c r="AH15" s="75">
        <f t="shared" si="4"/>
        <v>0</v>
      </c>
      <c r="AJ15" s="320">
        <v>0</v>
      </c>
      <c r="AK15" s="367">
        <f t="shared" si="3"/>
        <v>0</v>
      </c>
      <c r="AL15" s="403">
        <f t="shared" si="5"/>
        <v>0</v>
      </c>
    </row>
    <row r="16" spans="2:38" s="120" customFormat="1" ht="28.5">
      <c r="B16" s="33" t="s">
        <v>344</v>
      </c>
      <c r="C16" s="33"/>
      <c r="D16" s="75">
        <v>1929</v>
      </c>
      <c r="E16" s="75">
        <v>2041</v>
      </c>
      <c r="F16" s="75">
        <v>1632</v>
      </c>
      <c r="G16" s="75">
        <v>3035</v>
      </c>
      <c r="H16" s="121">
        <v>3809</v>
      </c>
      <c r="I16" s="75"/>
      <c r="J16" s="75">
        <v>433</v>
      </c>
      <c r="K16" s="72">
        <v>552</v>
      </c>
      <c r="L16" s="72">
        <v>563</v>
      </c>
      <c r="M16" s="72">
        <v>493</v>
      </c>
      <c r="N16" s="72">
        <v>532</v>
      </c>
      <c r="O16" s="72">
        <v>-300</v>
      </c>
      <c r="P16" s="72">
        <v>722</v>
      </c>
      <c r="Q16" s="72">
        <v>678</v>
      </c>
      <c r="R16" s="131">
        <v>807</v>
      </c>
      <c r="S16" s="131">
        <v>735</v>
      </c>
      <c r="T16" s="131">
        <v>762</v>
      </c>
      <c r="U16" s="131">
        <v>731</v>
      </c>
      <c r="V16" s="131">
        <v>933</v>
      </c>
      <c r="W16" s="131">
        <v>810</v>
      </c>
      <c r="X16" s="131">
        <v>856</v>
      </c>
      <c r="Y16" s="131">
        <v>1210</v>
      </c>
      <c r="Z16" s="140">
        <v>950</v>
      </c>
      <c r="AA16" s="140">
        <f>893-6</f>
        <v>887</v>
      </c>
      <c r="AB16" s="153">
        <v>862</v>
      </c>
      <c r="AC16" s="121">
        <f t="shared" si="0"/>
        <v>-2.8184892897407</v>
      </c>
      <c r="AD16" s="121">
        <f t="shared" si="1"/>
        <v>0.7009345794392496</v>
      </c>
      <c r="AE16" s="121"/>
      <c r="AF16" s="247">
        <v>2599</v>
      </c>
      <c r="AG16" s="367">
        <f t="shared" si="2"/>
        <v>2699</v>
      </c>
      <c r="AH16" s="75">
        <f t="shared" si="4"/>
        <v>3.8476337052712584</v>
      </c>
      <c r="AJ16" s="306">
        <v>1743</v>
      </c>
      <c r="AK16" s="367">
        <f>AK13-AK14-AK15</f>
        <v>1837</v>
      </c>
      <c r="AL16" s="121">
        <f t="shared" si="5"/>
        <v>5.393000573723472</v>
      </c>
    </row>
    <row r="17" spans="2:37" ht="14.25">
      <c r="B17" s="22"/>
      <c r="C17" s="22"/>
      <c r="H17" s="121"/>
      <c r="K17" s="72"/>
      <c r="L17" s="72"/>
      <c r="M17" s="72"/>
      <c r="N17" s="72"/>
      <c r="O17" s="72"/>
      <c r="P17" s="72"/>
      <c r="Q17" s="72"/>
      <c r="R17" s="171"/>
      <c r="S17" s="171"/>
      <c r="T17" s="171"/>
      <c r="U17" s="171"/>
      <c r="V17" s="171"/>
      <c r="W17" s="171"/>
      <c r="X17" s="171"/>
      <c r="Y17" s="171"/>
      <c r="Z17" s="165"/>
      <c r="AA17" s="121"/>
      <c r="AB17" s="489"/>
      <c r="AF17" s="135"/>
      <c r="AG17" s="489"/>
      <c r="AJ17" s="306"/>
      <c r="AK17" s="461"/>
    </row>
    <row r="18" spans="1:37" ht="15">
      <c r="A18" s="71" t="s">
        <v>104</v>
      </c>
      <c r="B18" s="22"/>
      <c r="C18" s="22"/>
      <c r="H18" s="121"/>
      <c r="K18" s="72"/>
      <c r="L18" s="72"/>
      <c r="M18" s="72"/>
      <c r="N18" s="72"/>
      <c r="O18" s="72"/>
      <c r="P18" s="72"/>
      <c r="Q18" s="72"/>
      <c r="R18" s="171"/>
      <c r="S18" s="171"/>
      <c r="T18" s="171"/>
      <c r="U18" s="171"/>
      <c r="V18" s="171"/>
      <c r="W18" s="171"/>
      <c r="X18" s="171"/>
      <c r="Y18" s="171"/>
      <c r="Z18" s="165"/>
      <c r="AA18" s="121"/>
      <c r="AB18" s="489"/>
      <c r="AF18" s="135"/>
      <c r="AG18" s="489"/>
      <c r="AJ18" s="306"/>
      <c r="AK18" s="461"/>
    </row>
    <row r="19" spans="2:38" s="120" customFormat="1" ht="14.25">
      <c r="B19" s="33" t="s">
        <v>17</v>
      </c>
      <c r="C19" s="33"/>
      <c r="D19" s="75">
        <v>126481</v>
      </c>
      <c r="E19" s="75">
        <v>130583</v>
      </c>
      <c r="F19" s="75">
        <v>152094</v>
      </c>
      <c r="G19" s="75">
        <v>194720</v>
      </c>
      <c r="H19" s="121">
        <v>210519</v>
      </c>
      <c r="I19" s="75"/>
      <c r="J19" s="75">
        <v>130557</v>
      </c>
      <c r="K19" s="72">
        <v>127970</v>
      </c>
      <c r="L19" s="72">
        <v>128308</v>
      </c>
      <c r="M19" s="72">
        <v>130583</v>
      </c>
      <c r="N19" s="72">
        <v>133908</v>
      </c>
      <c r="O19" s="72">
        <v>146070</v>
      </c>
      <c r="P19" s="72">
        <v>147785</v>
      </c>
      <c r="Q19" s="72">
        <v>152094</v>
      </c>
      <c r="R19" s="292">
        <v>157455</v>
      </c>
      <c r="S19" s="292">
        <v>168706</v>
      </c>
      <c r="T19" s="292">
        <v>185630</v>
      </c>
      <c r="U19" s="292">
        <v>194720</v>
      </c>
      <c r="V19" s="292">
        <v>197590</v>
      </c>
      <c r="W19" s="292">
        <v>205180</v>
      </c>
      <c r="X19" s="292">
        <v>202493</v>
      </c>
      <c r="Y19" s="292">
        <v>210519</v>
      </c>
      <c r="Z19" s="368">
        <v>223670</v>
      </c>
      <c r="AA19" s="368">
        <f>234794-7</f>
        <v>234787</v>
      </c>
      <c r="AB19" s="389">
        <v>241723</v>
      </c>
      <c r="AC19" s="121">
        <f aca="true" t="shared" si="6" ref="AC19:AC25">IF(AND(AB19=0,AB19=0),0,IF(OR(AND(AB19&gt;0,AA19&lt;=0),AND(AB19&lt;0,AA19&gt;=0)),"nm",IF(AND(AB19&lt;0,AA19&lt;0),IF(-(AB19/AA19-1)*100&lt;-100,"(&gt;100)",-(AB19/AA19-1)*100),IF((AB19/AA19-1)*100&gt;100,"&gt;100",(AB19/AA19-1)*100))))</f>
        <v>2.9541669683585514</v>
      </c>
      <c r="AD19" s="121">
        <f aca="true" t="shared" si="7" ref="AD19:AD25">IF(AND(AB19=0,X19=0),0,IF(OR(AND(AB19&gt;0,X19&lt;=0),AND(AB19&lt;0,X19&gt;=0)),"nm",IF(AND(AB19&lt;0,X19&lt;0),IF(-(AB19/X19-1)*100&lt;-100,"(&gt;100)",-(AB19/X19-1)*100),IF((AB19/X19-1)*100&gt;100,"&gt;100",(AB19/X19-1)*100))))</f>
        <v>19.373509207725693</v>
      </c>
      <c r="AE19" s="121"/>
      <c r="AF19" s="247">
        <v>202493</v>
      </c>
      <c r="AG19" s="389">
        <v>241723</v>
      </c>
      <c r="AH19" s="75">
        <f aca="true" t="shared" si="8" ref="AH19:AH25">IF(AND(AG19=0,AF19=0),0,IF(OR(AND(AG19&gt;0,AF19&lt;=0),AND(AG19&lt;0,AF19&gt;=0)),"nm",IF(AND(AG19&lt;0,AF19&lt;0),IF(-(AG19/AF19-1)*100&lt;-100,"(&gt;100)",-(AG19/AF19-1)*100),IF((AG19/AF19-1)*100&gt;100,"&gt;100",(AG19/AF19-1)*100))))</f>
        <v>19.373509207725693</v>
      </c>
      <c r="AJ19" s="306">
        <v>205180</v>
      </c>
      <c r="AK19" s="367">
        <f>AA19</f>
        <v>234787</v>
      </c>
      <c r="AL19" s="121">
        <f>IF(AND(AK19=0,AJ19=0),0,IF(OR(AND(AK19&gt;0,AJ19&lt;=0),AND(AK19&lt;0,AJ19&gt;=0)),"nm",IF(AND(AK19&lt;0,AJ19&lt;0),IF(-(AK19/AJ19-1)*100&lt;-100,"(&gt;100)",-(AK19/AJ19-1)*100),IF((AK19/AJ19-1)*100&gt;100,"&gt;100",(AK19/AJ19-1)*100))))</f>
        <v>14.429768983331703</v>
      </c>
    </row>
    <row r="20" spans="2:38" s="120" customFormat="1" ht="14.25">
      <c r="B20" s="33" t="s">
        <v>18</v>
      </c>
      <c r="C20" s="33"/>
      <c r="D20" s="75">
        <v>22159</v>
      </c>
      <c r="E20" s="75">
        <v>24189</v>
      </c>
      <c r="F20" s="75">
        <v>23298</v>
      </c>
      <c r="G20" s="75">
        <v>27183</v>
      </c>
      <c r="H20" s="121">
        <v>29407</v>
      </c>
      <c r="I20" s="75"/>
      <c r="J20" s="75">
        <v>30261</v>
      </c>
      <c r="K20" s="72">
        <v>35204</v>
      </c>
      <c r="L20" s="72">
        <v>33365</v>
      </c>
      <c r="M20" s="72">
        <v>24189</v>
      </c>
      <c r="N20" s="72">
        <v>18672</v>
      </c>
      <c r="O20" s="72">
        <v>21846</v>
      </c>
      <c r="P20" s="72">
        <v>25820</v>
      </c>
      <c r="Q20" s="72">
        <v>23298</v>
      </c>
      <c r="R20" s="292">
        <v>26097</v>
      </c>
      <c r="S20" s="292">
        <v>24577</v>
      </c>
      <c r="T20" s="292">
        <v>31009</v>
      </c>
      <c r="U20" s="292">
        <v>27183</v>
      </c>
      <c r="V20" s="292">
        <v>33197</v>
      </c>
      <c r="W20" s="292">
        <v>34686</v>
      </c>
      <c r="X20" s="292">
        <v>42912</v>
      </c>
      <c r="Y20" s="292">
        <v>29407</v>
      </c>
      <c r="Z20" s="368">
        <v>32590</v>
      </c>
      <c r="AA20" s="368">
        <v>33659</v>
      </c>
      <c r="AB20" s="389">
        <v>40616</v>
      </c>
      <c r="AC20" s="121">
        <f t="shared" si="6"/>
        <v>20.669063252027687</v>
      </c>
      <c r="AD20" s="121">
        <f t="shared" si="7"/>
        <v>-5.3504847129008155</v>
      </c>
      <c r="AE20" s="121"/>
      <c r="AF20" s="247">
        <v>42912</v>
      </c>
      <c r="AG20" s="389">
        <v>40616</v>
      </c>
      <c r="AH20" s="75">
        <f t="shared" si="8"/>
        <v>-5.3504847129008155</v>
      </c>
      <c r="AJ20" s="306">
        <v>34686</v>
      </c>
      <c r="AK20" s="367">
        <f>AA20</f>
        <v>33659</v>
      </c>
      <c r="AL20" s="121">
        <f aca="true" t="shared" si="9" ref="AL20:AL25">IF(AND(AK20=0,AJ20=0),0,IF(OR(AND(AK20&gt;0,AJ20&lt;=0),AND(AK20&lt;0,AJ20&gt;=0)),"nm",IF(AND(AK20&lt;0,AJ20&lt;0),IF(-(AK20/AJ20-1)*100&lt;-100,"(&gt;100)",-(AK20/AJ20-1)*100),IF((AK20/AJ20-1)*100&gt;100,"&gt;100",(AK20/AJ20-1)*100))))</f>
        <v>-2.9608487574237397</v>
      </c>
    </row>
    <row r="21" spans="2:38" s="120" customFormat="1" ht="14.25">
      <c r="B21" s="33" t="s">
        <v>10</v>
      </c>
      <c r="C21" s="33"/>
      <c r="D21" s="75">
        <v>256718</v>
      </c>
      <c r="E21" s="75">
        <v>258644</v>
      </c>
      <c r="F21" s="75">
        <v>283710</v>
      </c>
      <c r="G21" s="75">
        <v>340847</v>
      </c>
      <c r="H21" s="121">
        <v>353033</v>
      </c>
      <c r="I21" s="75"/>
      <c r="J21" s="75">
        <v>273252</v>
      </c>
      <c r="K21" s="72">
        <v>262948</v>
      </c>
      <c r="L21" s="72">
        <v>259470</v>
      </c>
      <c r="M21" s="72">
        <v>258644</v>
      </c>
      <c r="N21" s="72">
        <v>262036</v>
      </c>
      <c r="O21" s="72">
        <v>276250</v>
      </c>
      <c r="P21" s="72">
        <v>279436</v>
      </c>
      <c r="Q21" s="72">
        <v>283710</v>
      </c>
      <c r="R21" s="292">
        <v>292937</v>
      </c>
      <c r="S21" s="292">
        <v>309492</v>
      </c>
      <c r="T21" s="292">
        <v>338641</v>
      </c>
      <c r="U21" s="292">
        <v>340847</v>
      </c>
      <c r="V21" s="292">
        <v>348280</v>
      </c>
      <c r="W21" s="292">
        <v>353020</v>
      </c>
      <c r="X21" s="292">
        <v>360602</v>
      </c>
      <c r="Y21" s="292">
        <v>353033</v>
      </c>
      <c r="Z21" s="368">
        <v>373259</v>
      </c>
      <c r="AA21" s="368">
        <f>386939-7-332</f>
        <v>386600</v>
      </c>
      <c r="AB21" s="389">
        <f>402021+247-895</f>
        <v>401373</v>
      </c>
      <c r="AC21" s="121">
        <f t="shared" si="6"/>
        <v>3.8212622866011348</v>
      </c>
      <c r="AD21" s="121">
        <f t="shared" si="7"/>
        <v>11.306371012917293</v>
      </c>
      <c r="AE21" s="121"/>
      <c r="AF21" s="247">
        <v>360602</v>
      </c>
      <c r="AG21" s="389">
        <f>402268-895</f>
        <v>401373</v>
      </c>
      <c r="AH21" s="75">
        <f t="shared" si="8"/>
        <v>11.306371012917293</v>
      </c>
      <c r="AJ21" s="306">
        <v>353020</v>
      </c>
      <c r="AK21" s="367">
        <f>AA21</f>
        <v>386600</v>
      </c>
      <c r="AL21" s="121">
        <f t="shared" si="9"/>
        <v>9.512208940003397</v>
      </c>
    </row>
    <row r="22" spans="2:38" s="120" customFormat="1" ht="14.25">
      <c r="B22" s="33" t="s">
        <v>21</v>
      </c>
      <c r="C22" s="33"/>
      <c r="D22" s="75">
        <v>169858</v>
      </c>
      <c r="E22" s="75">
        <v>183432</v>
      </c>
      <c r="F22" s="75">
        <v>193692</v>
      </c>
      <c r="G22" s="75">
        <v>225346</v>
      </c>
      <c r="H22" s="121">
        <v>242907</v>
      </c>
      <c r="I22" s="75"/>
      <c r="J22" s="75">
        <v>179818</v>
      </c>
      <c r="K22" s="72">
        <v>179033</v>
      </c>
      <c r="L22" s="72">
        <v>180185</v>
      </c>
      <c r="M22" s="72">
        <v>183432</v>
      </c>
      <c r="N22" s="72">
        <v>181560</v>
      </c>
      <c r="O22" s="72">
        <v>183929</v>
      </c>
      <c r="P22" s="72">
        <v>185211</v>
      </c>
      <c r="Q22" s="72">
        <v>193692</v>
      </c>
      <c r="R22" s="292">
        <v>199536</v>
      </c>
      <c r="S22" s="292">
        <v>210536</v>
      </c>
      <c r="T22" s="292">
        <v>219714</v>
      </c>
      <c r="U22" s="292">
        <v>225346</v>
      </c>
      <c r="V22" s="292">
        <v>232186</v>
      </c>
      <c r="W22" s="292">
        <v>230566</v>
      </c>
      <c r="X22" s="292">
        <v>240178</v>
      </c>
      <c r="Y22" s="292">
        <v>242907</v>
      </c>
      <c r="Z22" s="368">
        <v>250815</v>
      </c>
      <c r="AA22" s="368">
        <v>261397</v>
      </c>
      <c r="AB22" s="389">
        <v>270211</v>
      </c>
      <c r="AC22" s="121">
        <f t="shared" si="6"/>
        <v>3.3718826153322334</v>
      </c>
      <c r="AD22" s="121">
        <f t="shared" si="7"/>
        <v>12.504475847080077</v>
      </c>
      <c r="AE22" s="121"/>
      <c r="AF22" s="247">
        <v>240178</v>
      </c>
      <c r="AG22" s="389">
        <v>270211</v>
      </c>
      <c r="AH22" s="75">
        <f t="shared" si="8"/>
        <v>12.504475847080077</v>
      </c>
      <c r="AJ22" s="306">
        <v>230566</v>
      </c>
      <c r="AK22" s="367">
        <f>AA22</f>
        <v>261397</v>
      </c>
      <c r="AL22" s="121">
        <f t="shared" si="9"/>
        <v>13.37187616560984</v>
      </c>
    </row>
    <row r="23" spans="2:38" s="120" customFormat="1" ht="14.25">
      <c r="B23" s="127" t="s">
        <v>381</v>
      </c>
      <c r="C23" s="33"/>
      <c r="D23" s="382"/>
      <c r="E23" s="382"/>
      <c r="F23" s="382"/>
      <c r="G23" s="382"/>
      <c r="H23" s="121">
        <v>25908</v>
      </c>
      <c r="I23" s="75"/>
      <c r="J23" s="382"/>
      <c r="K23" s="383"/>
      <c r="L23" s="383"/>
      <c r="M23" s="383"/>
      <c r="N23" s="383"/>
      <c r="O23" s="383"/>
      <c r="P23" s="383"/>
      <c r="Q23" s="383"/>
      <c r="R23" s="384"/>
      <c r="S23" s="292">
        <v>26799</v>
      </c>
      <c r="T23" s="292">
        <f>AF23</f>
        <v>28907</v>
      </c>
      <c r="U23" s="292">
        <v>28087</v>
      </c>
      <c r="V23" s="292">
        <v>25975</v>
      </c>
      <c r="W23" s="292">
        <v>31284</v>
      </c>
      <c r="X23" s="292">
        <v>28907</v>
      </c>
      <c r="Y23" s="292">
        <v>25908</v>
      </c>
      <c r="Z23" s="368">
        <v>29855</v>
      </c>
      <c r="AA23" s="368">
        <v>26596</v>
      </c>
      <c r="AB23" s="389">
        <v>28688</v>
      </c>
      <c r="AC23" s="121">
        <f t="shared" si="6"/>
        <v>7.865844487892915</v>
      </c>
      <c r="AD23" s="121">
        <f t="shared" si="7"/>
        <v>-0.7576019649219945</v>
      </c>
      <c r="AE23" s="121"/>
      <c r="AF23" s="247">
        <v>28907</v>
      </c>
      <c r="AG23" s="389">
        <v>28688</v>
      </c>
      <c r="AH23" s="75">
        <f>AD23</f>
        <v>-0.7576019649219945</v>
      </c>
      <c r="AJ23" s="292">
        <v>31284</v>
      </c>
      <c r="AK23" s="367">
        <f>AA23</f>
        <v>26596</v>
      </c>
      <c r="AL23" s="121">
        <f t="shared" si="9"/>
        <v>-14.985295997954228</v>
      </c>
    </row>
    <row r="24" spans="2:38" s="120" customFormat="1" ht="14.25">
      <c r="B24" s="33" t="s">
        <v>11</v>
      </c>
      <c r="C24" s="33"/>
      <c r="D24" s="75">
        <v>232715</v>
      </c>
      <c r="E24" s="75">
        <v>229145</v>
      </c>
      <c r="F24" s="75">
        <v>250608</v>
      </c>
      <c r="G24" s="75">
        <v>307778</v>
      </c>
      <c r="H24" s="121">
        <v>317035</v>
      </c>
      <c r="I24" s="75"/>
      <c r="J24" s="75">
        <v>244923</v>
      </c>
      <c r="K24" s="72">
        <v>234274</v>
      </c>
      <c r="L24" s="72">
        <v>230128</v>
      </c>
      <c r="M24" s="72">
        <v>229145</v>
      </c>
      <c r="N24" s="72">
        <v>231716</v>
      </c>
      <c r="O24" s="72">
        <v>246522</v>
      </c>
      <c r="P24" s="72">
        <v>248969</v>
      </c>
      <c r="Q24" s="72">
        <v>250608</v>
      </c>
      <c r="R24" s="292">
        <v>259986</v>
      </c>
      <c r="S24" s="292">
        <v>277208</v>
      </c>
      <c r="T24" s="292">
        <v>306035</v>
      </c>
      <c r="U24" s="292">
        <v>307778</v>
      </c>
      <c r="V24" s="292">
        <v>314165</v>
      </c>
      <c r="W24" s="292">
        <v>318580</v>
      </c>
      <c r="X24" s="292">
        <v>325762</v>
      </c>
      <c r="Y24" s="292">
        <v>317035</v>
      </c>
      <c r="Z24" s="368">
        <v>336210</v>
      </c>
      <c r="AA24" s="368">
        <f>350220-332+1+3</f>
        <v>349892</v>
      </c>
      <c r="AB24" s="389">
        <f>365132+247-895</f>
        <v>364484</v>
      </c>
      <c r="AC24" s="121">
        <f t="shared" si="6"/>
        <v>4.170429732603198</v>
      </c>
      <c r="AD24" s="121">
        <f t="shared" si="7"/>
        <v>11.886592051866085</v>
      </c>
      <c r="AE24" s="121"/>
      <c r="AF24" s="247">
        <v>325762</v>
      </c>
      <c r="AG24" s="389">
        <f>365379-895</f>
        <v>364484</v>
      </c>
      <c r="AH24" s="75">
        <f t="shared" si="8"/>
        <v>11.886592051866085</v>
      </c>
      <c r="AJ24" s="306">
        <v>318580</v>
      </c>
      <c r="AK24" s="367">
        <f>AA24</f>
        <v>349892</v>
      </c>
      <c r="AL24" s="121">
        <f t="shared" si="9"/>
        <v>9.828614476740526</v>
      </c>
    </row>
    <row r="25" spans="2:38" s="120" customFormat="1" ht="14.25">
      <c r="B25" s="33" t="s">
        <v>12</v>
      </c>
      <c r="C25" s="33"/>
      <c r="D25" s="75">
        <v>19819</v>
      </c>
      <c r="E25" s="75">
        <v>25373</v>
      </c>
      <c r="F25" s="75">
        <v>26599</v>
      </c>
      <c r="G25" s="75">
        <v>28794</v>
      </c>
      <c r="H25" s="121">
        <v>31737</v>
      </c>
      <c r="I25" s="75"/>
      <c r="J25" s="75">
        <v>24042</v>
      </c>
      <c r="K25" s="72">
        <v>24465</v>
      </c>
      <c r="L25" s="72">
        <v>25174</v>
      </c>
      <c r="M25" s="72">
        <v>25373</v>
      </c>
      <c r="N25" s="72">
        <v>26183</v>
      </c>
      <c r="O25" s="72">
        <v>25616</v>
      </c>
      <c r="P25" s="72">
        <v>26424</v>
      </c>
      <c r="Q25" s="72">
        <v>26599</v>
      </c>
      <c r="R25" s="292">
        <v>27430</v>
      </c>
      <c r="S25" s="292">
        <v>28014</v>
      </c>
      <c r="T25" s="292">
        <v>28281</v>
      </c>
      <c r="U25" s="292">
        <v>28794</v>
      </c>
      <c r="V25" s="292">
        <v>29798</v>
      </c>
      <c r="W25" s="292">
        <v>30177</v>
      </c>
      <c r="X25" s="292">
        <v>30529</v>
      </c>
      <c r="Y25" s="292">
        <v>31737</v>
      </c>
      <c r="Z25" s="368">
        <v>32734</v>
      </c>
      <c r="AA25" s="368">
        <f>32451-6-3</f>
        <v>32442</v>
      </c>
      <c r="AB25" s="389">
        <v>32573</v>
      </c>
      <c r="AC25" s="121">
        <f t="shared" si="6"/>
        <v>0.40379754639048304</v>
      </c>
      <c r="AD25" s="121">
        <f t="shared" si="7"/>
        <v>6.695273346654007</v>
      </c>
      <c r="AE25" s="121"/>
      <c r="AF25" s="247">
        <v>30529</v>
      </c>
      <c r="AG25" s="389">
        <v>32573</v>
      </c>
      <c r="AH25" s="75">
        <f t="shared" si="8"/>
        <v>6.695273346654007</v>
      </c>
      <c r="AJ25" s="306">
        <v>30177</v>
      </c>
      <c r="AK25" s="367">
        <f>AA25</f>
        <v>32442</v>
      </c>
      <c r="AL25" s="121">
        <f t="shared" si="9"/>
        <v>7.505716273983487</v>
      </c>
    </row>
    <row r="26" spans="2:37" ht="14.25">
      <c r="B26" s="22"/>
      <c r="C26" s="22"/>
      <c r="H26" s="121"/>
      <c r="K26" s="107"/>
      <c r="L26" s="107"/>
      <c r="M26" s="107"/>
      <c r="N26" s="107"/>
      <c r="O26" s="107"/>
      <c r="P26" s="107"/>
      <c r="Q26" s="107"/>
      <c r="Z26" s="165"/>
      <c r="AA26" s="121"/>
      <c r="AB26" s="489"/>
      <c r="AF26" s="279"/>
      <c r="AG26" s="489"/>
      <c r="AJ26" s="307"/>
      <c r="AK26" s="461"/>
    </row>
    <row r="27" spans="1:38" ht="15">
      <c r="A27" s="40" t="s">
        <v>314</v>
      </c>
      <c r="B27" s="22"/>
      <c r="C27" s="22"/>
      <c r="H27" s="121"/>
      <c r="K27" s="103"/>
      <c r="L27" s="103"/>
      <c r="M27" s="103"/>
      <c r="N27" s="103"/>
      <c r="O27" s="103"/>
      <c r="P27" s="103"/>
      <c r="Q27" s="103"/>
      <c r="Z27" s="165"/>
      <c r="AA27" s="121"/>
      <c r="AB27" s="489"/>
      <c r="AF27" s="155"/>
      <c r="AG27" s="489"/>
      <c r="AJ27" s="456"/>
      <c r="AK27" s="466"/>
      <c r="AL27" s="349"/>
    </row>
    <row r="28" spans="2:38" s="117" customFormat="1" ht="14.25">
      <c r="B28" s="30" t="s">
        <v>173</v>
      </c>
      <c r="C28" s="87"/>
      <c r="D28" s="86">
        <v>2.04</v>
      </c>
      <c r="E28" s="86">
        <v>2.02</v>
      </c>
      <c r="F28" s="86">
        <v>1.84</v>
      </c>
      <c r="G28" s="86">
        <v>1.77</v>
      </c>
      <c r="H28" s="128">
        <v>1.7</v>
      </c>
      <c r="I28" s="86"/>
      <c r="J28" s="267">
        <v>1.99</v>
      </c>
      <c r="K28" s="268">
        <v>2.01</v>
      </c>
      <c r="L28" s="268">
        <v>2.03</v>
      </c>
      <c r="M28" s="268">
        <v>2.02</v>
      </c>
      <c r="N28" s="268">
        <v>1.93</v>
      </c>
      <c r="O28" s="268">
        <v>1.84</v>
      </c>
      <c r="P28" s="268">
        <v>1.8</v>
      </c>
      <c r="Q28" s="268">
        <v>1.79</v>
      </c>
      <c r="R28" s="293">
        <v>1.8</v>
      </c>
      <c r="S28" s="293">
        <v>1.8</v>
      </c>
      <c r="T28" s="293">
        <v>1.73</v>
      </c>
      <c r="U28" s="293">
        <v>1.73</v>
      </c>
      <c r="V28" s="293">
        <v>1.77</v>
      </c>
      <c r="W28" s="293">
        <v>1.72</v>
      </c>
      <c r="X28" s="293">
        <v>1.67</v>
      </c>
      <c r="Y28" s="293">
        <v>1.62</v>
      </c>
      <c r="Z28" s="431">
        <v>1.64</v>
      </c>
      <c r="AA28" s="431">
        <v>1.62</v>
      </c>
      <c r="AB28" s="404">
        <v>1.6</v>
      </c>
      <c r="AC28" s="349">
        <f>AB28-AA28</f>
        <v>-0.020000000000000018</v>
      </c>
      <c r="AD28" s="349">
        <f>AB28-X28</f>
        <v>-0.06999999999999984</v>
      </c>
      <c r="AE28" s="349"/>
      <c r="AF28" s="403">
        <v>1.72</v>
      </c>
      <c r="AG28" s="404">
        <v>1.62</v>
      </c>
      <c r="AH28" s="349">
        <f>AG28-AF28</f>
        <v>-0.09999999999999987</v>
      </c>
      <c r="AI28" s="269"/>
      <c r="AJ28" s="456">
        <v>1.75</v>
      </c>
      <c r="AK28" s="480">
        <v>1.63</v>
      </c>
      <c r="AL28" s="403">
        <f>AK28-AJ28</f>
        <v>-0.1200000000000001</v>
      </c>
    </row>
    <row r="29" spans="2:38" s="118" customFormat="1" ht="14.25">
      <c r="B29" s="83" t="s">
        <v>13</v>
      </c>
      <c r="C29" s="83"/>
      <c r="D29" s="84">
        <v>28.69</v>
      </c>
      <c r="E29" s="84">
        <v>32.53</v>
      </c>
      <c r="F29" s="84">
        <v>38.9</v>
      </c>
      <c r="G29" s="84">
        <v>36.8</v>
      </c>
      <c r="H29" s="377">
        <v>34.46180555555556</v>
      </c>
      <c r="I29" s="84"/>
      <c r="J29" s="84">
        <v>35.26</v>
      </c>
      <c r="K29" s="85">
        <v>37.9</v>
      </c>
      <c r="L29" s="85">
        <v>27.71</v>
      </c>
      <c r="M29" s="85">
        <v>28.31</v>
      </c>
      <c r="N29" s="85">
        <v>37.8</v>
      </c>
      <c r="O29" s="85">
        <v>41.2</v>
      </c>
      <c r="P29" s="85">
        <v>40.4</v>
      </c>
      <c r="Q29" s="85">
        <v>36</v>
      </c>
      <c r="R29" s="294">
        <v>41.2</v>
      </c>
      <c r="S29" s="294">
        <v>34.8</v>
      </c>
      <c r="T29" s="294">
        <v>38.3</v>
      </c>
      <c r="U29" s="294">
        <v>32.7</v>
      </c>
      <c r="V29" s="294">
        <v>38</v>
      </c>
      <c r="W29" s="294">
        <v>31.9</v>
      </c>
      <c r="X29" s="294">
        <v>33.532934131736525</v>
      </c>
      <c r="Y29" s="294">
        <v>33.996937212863706</v>
      </c>
      <c r="Z29" s="432">
        <v>42.7</v>
      </c>
      <c r="AA29" s="487">
        <f>(AA6+AA7)/AA8*100</f>
        <v>40.14724989172802</v>
      </c>
      <c r="AB29" s="450">
        <f>(AB6+AB7)/AB8*100</f>
        <v>34.604651162790695</v>
      </c>
      <c r="AC29" s="380">
        <f aca="true" t="shared" si="10" ref="AC29:AC37">AB29-AA29</f>
        <v>-5.542598728937328</v>
      </c>
      <c r="AD29" s="380">
        <f aca="true" t="shared" si="11" ref="AD29:AD37">AB29-X29</f>
        <v>1.0717170310541704</v>
      </c>
      <c r="AE29" s="84"/>
      <c r="AF29" s="482">
        <v>34.61097461097461</v>
      </c>
      <c r="AG29" s="407">
        <f>SUM(AG6:AG7)/AG8*100</f>
        <v>39.27095631641086</v>
      </c>
      <c r="AH29" s="84">
        <f>AG29-AF29</f>
        <v>4.659981705436252</v>
      </c>
      <c r="AJ29" s="457">
        <v>35.1</v>
      </c>
      <c r="AK29" s="450">
        <v>41.4</v>
      </c>
      <c r="AL29" s="380">
        <f aca="true" t="shared" si="12" ref="AL29:AL35">AK29-AJ29</f>
        <v>6.299999999999997</v>
      </c>
    </row>
    <row r="30" spans="2:38" s="118" customFormat="1" ht="14.25">
      <c r="B30" s="83" t="s">
        <v>14</v>
      </c>
      <c r="C30" s="83"/>
      <c r="D30" s="84">
        <v>43.28</v>
      </c>
      <c r="E30" s="84">
        <v>39.44</v>
      </c>
      <c r="F30" s="84">
        <v>41.4</v>
      </c>
      <c r="G30" s="84">
        <v>43.3</v>
      </c>
      <c r="H30" s="377">
        <v>44.81646825396825</v>
      </c>
      <c r="I30" s="84"/>
      <c r="J30" s="270">
        <v>38.39</v>
      </c>
      <c r="K30" s="271">
        <v>35.21</v>
      </c>
      <c r="L30" s="271">
        <v>40.27</v>
      </c>
      <c r="M30" s="271">
        <v>44.53</v>
      </c>
      <c r="N30" s="271">
        <v>41</v>
      </c>
      <c r="O30" s="271">
        <v>39.5</v>
      </c>
      <c r="P30" s="271">
        <v>40.1</v>
      </c>
      <c r="Q30" s="271">
        <v>45.1</v>
      </c>
      <c r="R30" s="294">
        <v>40.5</v>
      </c>
      <c r="S30" s="294">
        <v>43.4</v>
      </c>
      <c r="T30" s="294">
        <v>43</v>
      </c>
      <c r="U30" s="294">
        <v>46.2</v>
      </c>
      <c r="V30" s="294">
        <v>41.7</v>
      </c>
      <c r="W30" s="294">
        <v>44.8</v>
      </c>
      <c r="X30" s="294">
        <v>44.96007984031936</v>
      </c>
      <c r="Y30" s="294">
        <v>48.1368044920878</v>
      </c>
      <c r="Z30" s="432">
        <f>Z9/Z8*100</f>
        <v>41.08761329305136</v>
      </c>
      <c r="AA30" s="432">
        <f>AA9/AA8*100</f>
        <v>42.745777392810744</v>
      </c>
      <c r="AB30" s="407">
        <f>AB9/AB8*100</f>
        <v>44.139534883720934</v>
      </c>
      <c r="AC30" s="380">
        <f t="shared" si="10"/>
        <v>1.3937574909101897</v>
      </c>
      <c r="AD30" s="380">
        <f t="shared" si="11"/>
        <v>-0.8205449565984253</v>
      </c>
      <c r="AE30" s="270"/>
      <c r="AF30" s="482">
        <v>43.75102375102375</v>
      </c>
      <c r="AG30" s="407">
        <f>AG9/AG8*100</f>
        <v>42.621015348288076</v>
      </c>
      <c r="AH30" s="270">
        <f aca="true" t="shared" si="13" ref="AH30:AH36">AG30-AF30</f>
        <v>-1.130008402735676</v>
      </c>
      <c r="AI30" s="272"/>
      <c r="AJ30" s="458">
        <v>43.2</v>
      </c>
      <c r="AK30" s="450">
        <v>41.9</v>
      </c>
      <c r="AL30" s="482">
        <f>AK30-AJ30</f>
        <v>-1.3000000000000043</v>
      </c>
    </row>
    <row r="31" spans="2:38" s="117" customFormat="1" ht="14.25">
      <c r="B31" s="30" t="s">
        <v>174</v>
      </c>
      <c r="C31" s="30"/>
      <c r="D31" s="86">
        <v>0.84</v>
      </c>
      <c r="E31" s="86">
        <v>0.8</v>
      </c>
      <c r="F31" s="86">
        <v>0.98</v>
      </c>
      <c r="G31" s="86">
        <v>0.97</v>
      </c>
      <c r="H31" s="121">
        <v>0.97</v>
      </c>
      <c r="I31" s="86"/>
      <c r="J31" s="267">
        <v>0.69</v>
      </c>
      <c r="K31" s="268">
        <v>0.82</v>
      </c>
      <c r="L31" s="268">
        <v>0.86</v>
      </c>
      <c r="M31" s="268">
        <v>0.76</v>
      </c>
      <c r="N31" s="268">
        <v>0.82</v>
      </c>
      <c r="O31" s="268">
        <v>1.07</v>
      </c>
      <c r="P31" s="268">
        <v>1.04</v>
      </c>
      <c r="Q31" s="268">
        <v>0.96</v>
      </c>
      <c r="R31" s="293">
        <v>1.14</v>
      </c>
      <c r="S31" s="293">
        <v>0.98</v>
      </c>
      <c r="T31" s="293">
        <v>0.93</v>
      </c>
      <c r="U31" s="293">
        <v>0.85</v>
      </c>
      <c r="V31" s="293">
        <v>1.09</v>
      </c>
      <c r="W31" s="293">
        <v>0.93</v>
      </c>
      <c r="X31" s="293">
        <v>0.95</v>
      </c>
      <c r="Y31" s="293">
        <v>0.85</v>
      </c>
      <c r="Z31" s="431">
        <v>1.06</v>
      </c>
      <c r="AA31" s="431">
        <v>0.94</v>
      </c>
      <c r="AB31" s="404">
        <v>0.87</v>
      </c>
      <c r="AC31" s="349">
        <f t="shared" si="10"/>
        <v>-0.06999999999999995</v>
      </c>
      <c r="AD31" s="349">
        <f t="shared" si="11"/>
        <v>-0.07999999999999996</v>
      </c>
      <c r="AE31" s="267"/>
      <c r="AF31" s="403">
        <v>0.99</v>
      </c>
      <c r="AG31" s="404">
        <v>0.96</v>
      </c>
      <c r="AH31" s="267">
        <f>AG31-AF31</f>
        <v>-0.030000000000000027</v>
      </c>
      <c r="AJ31" s="458">
        <v>1.01</v>
      </c>
      <c r="AK31" s="480">
        <v>1</v>
      </c>
      <c r="AL31" s="128">
        <f>AK31-AJ31</f>
        <v>-0.010000000000000009</v>
      </c>
    </row>
    <row r="32" spans="2:38" s="118" customFormat="1" ht="14.25">
      <c r="B32" s="83" t="s">
        <v>175</v>
      </c>
      <c r="C32" s="83"/>
      <c r="D32" s="84">
        <v>10.12</v>
      </c>
      <c r="E32" s="84">
        <v>8.44</v>
      </c>
      <c r="F32" s="84">
        <v>10.2</v>
      </c>
      <c r="G32" s="84">
        <v>11</v>
      </c>
      <c r="H32" s="377">
        <v>11.2</v>
      </c>
      <c r="I32" s="84"/>
      <c r="J32" s="84">
        <v>8.01</v>
      </c>
      <c r="K32" s="85">
        <v>9.1</v>
      </c>
      <c r="L32" s="85">
        <v>9.08</v>
      </c>
      <c r="M32" s="85">
        <v>7.76</v>
      </c>
      <c r="N32" s="85">
        <v>8.24</v>
      </c>
      <c r="O32" s="85">
        <v>11.08</v>
      </c>
      <c r="P32" s="85">
        <v>11.06</v>
      </c>
      <c r="Q32" s="85">
        <v>10.22</v>
      </c>
      <c r="R32" s="294">
        <v>12.12</v>
      </c>
      <c r="S32" s="294">
        <v>10.62</v>
      </c>
      <c r="T32" s="294">
        <v>10.77</v>
      </c>
      <c r="U32" s="294">
        <v>10.2</v>
      </c>
      <c r="V32" s="294">
        <v>12.8</v>
      </c>
      <c r="W32" s="294">
        <v>10.9</v>
      </c>
      <c r="X32" s="294">
        <v>11.2</v>
      </c>
      <c r="Y32" s="294">
        <v>9.8</v>
      </c>
      <c r="Z32" s="432">
        <v>12</v>
      </c>
      <c r="AA32" s="432">
        <v>10.93</v>
      </c>
      <c r="AB32" s="407">
        <v>10.53</v>
      </c>
      <c r="AC32" s="380">
        <f t="shared" si="10"/>
        <v>-0.40000000000000036</v>
      </c>
      <c r="AD32" s="380">
        <f t="shared" si="11"/>
        <v>-0.6699999999999999</v>
      </c>
      <c r="AE32" s="84"/>
      <c r="AF32" s="482">
        <v>11.7</v>
      </c>
      <c r="AG32" s="407">
        <v>11.31</v>
      </c>
      <c r="AH32" s="84">
        <f>AG32-AF32</f>
        <v>-0.3899999999999988</v>
      </c>
      <c r="AJ32" s="457">
        <v>11.9</v>
      </c>
      <c r="AK32" s="450">
        <v>11.6</v>
      </c>
      <c r="AL32" s="377">
        <f t="shared" si="12"/>
        <v>-0.3000000000000007</v>
      </c>
    </row>
    <row r="33" spans="2:38" s="118" customFormat="1" ht="14.25">
      <c r="B33" s="83" t="s">
        <v>176</v>
      </c>
      <c r="C33" s="83"/>
      <c r="D33" s="84">
        <v>74.46</v>
      </c>
      <c r="E33" s="84">
        <v>71.19</v>
      </c>
      <c r="F33" s="84">
        <v>78.5</v>
      </c>
      <c r="G33" s="84">
        <v>86.4</v>
      </c>
      <c r="H33" s="121">
        <v>86.66650199459052</v>
      </c>
      <c r="I33" s="84"/>
      <c r="J33" s="84">
        <v>72.61</v>
      </c>
      <c r="K33" s="85">
        <v>71.48</v>
      </c>
      <c r="L33" s="85">
        <v>71.21</v>
      </c>
      <c r="M33" s="85">
        <v>71.19</v>
      </c>
      <c r="N33" s="85">
        <v>73.8</v>
      </c>
      <c r="O33" s="85">
        <v>79.4</v>
      </c>
      <c r="P33" s="85">
        <v>79.8</v>
      </c>
      <c r="Q33" s="85">
        <v>78.5</v>
      </c>
      <c r="R33" s="294">
        <v>78.9</v>
      </c>
      <c r="S33" s="294">
        <v>80.1</v>
      </c>
      <c r="T33" s="294">
        <v>84.5</v>
      </c>
      <c r="U33" s="294">
        <v>86.4</v>
      </c>
      <c r="V33" s="294">
        <v>85.1</v>
      </c>
      <c r="W33" s="294">
        <v>89</v>
      </c>
      <c r="X33" s="294">
        <v>84.30955374763717</v>
      </c>
      <c r="Y33" s="294">
        <v>86.66650199459052</v>
      </c>
      <c r="Z33" s="432">
        <f>Z19/Z22*100</f>
        <v>89.17728206048282</v>
      </c>
      <c r="AA33" s="488">
        <f>AA19/AA22*100</f>
        <v>89.82008209734619</v>
      </c>
      <c r="AB33" s="407">
        <f>AB19/AB22*100</f>
        <v>89.45712794815903</v>
      </c>
      <c r="AC33" s="380">
        <f t="shared" si="10"/>
        <v>-0.3629541491871606</v>
      </c>
      <c r="AD33" s="380">
        <f t="shared" si="11"/>
        <v>5.147574200521859</v>
      </c>
      <c r="AE33" s="84"/>
      <c r="AF33" s="482">
        <v>84.30955374763717</v>
      </c>
      <c r="AG33" s="407">
        <f>AG19/AG22*100</f>
        <v>89.45712794815903</v>
      </c>
      <c r="AH33" s="84">
        <f t="shared" si="13"/>
        <v>5.147574200521859</v>
      </c>
      <c r="AJ33" s="457">
        <v>89</v>
      </c>
      <c r="AK33" s="450">
        <f>AA33</f>
        <v>89.82008209734619</v>
      </c>
      <c r="AL33" s="377">
        <f t="shared" si="12"/>
        <v>0.8200820973461873</v>
      </c>
    </row>
    <row r="34" spans="2:38" s="118" customFormat="1" ht="14.25">
      <c r="B34" s="83" t="s">
        <v>15</v>
      </c>
      <c r="C34" s="83"/>
      <c r="D34" s="84">
        <v>1.5</v>
      </c>
      <c r="E34" s="84">
        <v>2.9</v>
      </c>
      <c r="F34" s="84">
        <v>1.9</v>
      </c>
      <c r="G34" s="84">
        <v>1.3</v>
      </c>
      <c r="H34" s="121">
        <v>1.2</v>
      </c>
      <c r="I34" s="84"/>
      <c r="J34" s="84">
        <v>2</v>
      </c>
      <c r="K34" s="85">
        <v>2.8</v>
      </c>
      <c r="L34" s="85">
        <v>2.6</v>
      </c>
      <c r="M34" s="85">
        <v>2.9</v>
      </c>
      <c r="N34" s="85">
        <v>2.7</v>
      </c>
      <c r="O34" s="85">
        <v>2.3</v>
      </c>
      <c r="P34" s="85">
        <v>2.1</v>
      </c>
      <c r="Q34" s="85">
        <v>1.9</v>
      </c>
      <c r="R34" s="295">
        <v>1.8</v>
      </c>
      <c r="S34" s="295">
        <v>1.5</v>
      </c>
      <c r="T34" s="295">
        <v>1.3</v>
      </c>
      <c r="U34" s="295">
        <v>1.3</v>
      </c>
      <c r="V34" s="295">
        <v>1.3</v>
      </c>
      <c r="W34" s="295">
        <v>1.3</v>
      </c>
      <c r="X34" s="295">
        <v>1.3</v>
      </c>
      <c r="Y34" s="295">
        <v>1.2</v>
      </c>
      <c r="Z34" s="432">
        <v>1.2</v>
      </c>
      <c r="AA34" s="432">
        <v>1.2</v>
      </c>
      <c r="AB34" s="407">
        <v>1.2</v>
      </c>
      <c r="AC34" s="380">
        <f t="shared" si="10"/>
        <v>0</v>
      </c>
      <c r="AD34" s="380">
        <f t="shared" si="11"/>
        <v>-0.10000000000000009</v>
      </c>
      <c r="AE34" s="377"/>
      <c r="AF34" s="482">
        <v>1.3</v>
      </c>
      <c r="AG34" s="570">
        <v>1.2</v>
      </c>
      <c r="AH34" s="84">
        <f t="shared" si="13"/>
        <v>-0.10000000000000009</v>
      </c>
      <c r="AJ34" s="457">
        <v>1.3</v>
      </c>
      <c r="AK34" s="450">
        <v>1.2</v>
      </c>
      <c r="AL34" s="482">
        <f t="shared" si="12"/>
        <v>-0.10000000000000009</v>
      </c>
    </row>
    <row r="35" spans="2:38" s="120" customFormat="1" ht="14.25">
      <c r="B35" s="33" t="s">
        <v>183</v>
      </c>
      <c r="C35" s="33"/>
      <c r="D35" s="75">
        <v>35</v>
      </c>
      <c r="E35" s="75">
        <v>85</v>
      </c>
      <c r="F35" s="75">
        <v>43</v>
      </c>
      <c r="G35" s="75">
        <v>11</v>
      </c>
      <c r="H35" s="121">
        <v>10</v>
      </c>
      <c r="I35" s="75"/>
      <c r="J35" s="75">
        <v>70</v>
      </c>
      <c r="K35" s="260">
        <v>83</v>
      </c>
      <c r="L35" s="260">
        <v>70</v>
      </c>
      <c r="M35" s="260">
        <v>116</v>
      </c>
      <c r="N35" s="260">
        <v>97</v>
      </c>
      <c r="O35" s="260">
        <v>19</v>
      </c>
      <c r="P35" s="260">
        <v>33</v>
      </c>
      <c r="Q35" s="260">
        <v>25</v>
      </c>
      <c r="R35" s="296">
        <v>9</v>
      </c>
      <c r="S35" s="296">
        <v>7</v>
      </c>
      <c r="T35" s="296">
        <v>9</v>
      </c>
      <c r="U35" s="296">
        <v>19</v>
      </c>
      <c r="V35" s="296">
        <v>9</v>
      </c>
      <c r="W35" s="296">
        <v>8</v>
      </c>
      <c r="X35" s="296">
        <v>7</v>
      </c>
      <c r="Y35" s="296">
        <v>15</v>
      </c>
      <c r="Z35" s="399">
        <v>21</v>
      </c>
      <c r="AA35" s="399">
        <v>22</v>
      </c>
      <c r="AB35" s="584">
        <v>15</v>
      </c>
      <c r="AC35" s="139">
        <f t="shared" si="10"/>
        <v>-7</v>
      </c>
      <c r="AD35" s="139">
        <f t="shared" si="11"/>
        <v>8</v>
      </c>
      <c r="AE35" s="121"/>
      <c r="AF35" s="140">
        <v>8</v>
      </c>
      <c r="AG35" s="571">
        <v>20</v>
      </c>
      <c r="AH35" s="75">
        <f t="shared" si="13"/>
        <v>12</v>
      </c>
      <c r="AJ35" s="351">
        <v>8</v>
      </c>
      <c r="AK35" s="367">
        <v>22</v>
      </c>
      <c r="AL35" s="140">
        <f t="shared" si="12"/>
        <v>14</v>
      </c>
    </row>
    <row r="36" spans="2:38" s="118" customFormat="1" ht="14.25">
      <c r="B36" s="83" t="s">
        <v>181</v>
      </c>
      <c r="C36" s="83"/>
      <c r="D36" s="84">
        <v>10.1</v>
      </c>
      <c r="E36" s="84">
        <v>13.1</v>
      </c>
      <c r="F36" s="84">
        <v>15.1</v>
      </c>
      <c r="G36" s="84">
        <v>12.9</v>
      </c>
      <c r="H36" s="121">
        <v>14</v>
      </c>
      <c r="I36" s="84"/>
      <c r="J36" s="84">
        <v>12.5</v>
      </c>
      <c r="K36" s="85">
        <v>12.6</v>
      </c>
      <c r="L36" s="85">
        <v>12.5</v>
      </c>
      <c r="M36" s="85">
        <v>13.1</v>
      </c>
      <c r="N36" s="85">
        <v>13.4</v>
      </c>
      <c r="O36" s="85">
        <v>13.1</v>
      </c>
      <c r="P36" s="85">
        <v>13.1</v>
      </c>
      <c r="Q36" s="85">
        <v>15.1</v>
      </c>
      <c r="R36" s="294">
        <v>14.2</v>
      </c>
      <c r="S36" s="294">
        <v>13.5</v>
      </c>
      <c r="T36" s="294">
        <v>12.6</v>
      </c>
      <c r="U36" s="294">
        <v>12.9</v>
      </c>
      <c r="V36" s="294">
        <v>12.7</v>
      </c>
      <c r="W36" s="294">
        <v>12.8</v>
      </c>
      <c r="X36" s="294">
        <v>13.4</v>
      </c>
      <c r="Y36" s="294">
        <v>14</v>
      </c>
      <c r="Z36" s="432">
        <v>12.9</v>
      </c>
      <c r="AA36" s="432">
        <v>12.9</v>
      </c>
      <c r="AB36" s="407">
        <v>13.3</v>
      </c>
      <c r="AC36" s="380">
        <f t="shared" si="10"/>
        <v>0.40000000000000036</v>
      </c>
      <c r="AD36" s="380">
        <f t="shared" si="11"/>
        <v>-0.09999999999999964</v>
      </c>
      <c r="AE36" s="377"/>
      <c r="AF36" s="482">
        <v>13.4</v>
      </c>
      <c r="AG36" s="407">
        <v>13.3</v>
      </c>
      <c r="AH36" s="377">
        <f t="shared" si="13"/>
        <v>-0.09999999999999964</v>
      </c>
      <c r="AJ36" s="457">
        <v>12.8</v>
      </c>
      <c r="AK36" s="450">
        <f>AA36</f>
        <v>12.9</v>
      </c>
      <c r="AL36" s="377">
        <f>AK36-AJ36</f>
        <v>0.09999999999999964</v>
      </c>
    </row>
    <row r="37" spans="2:38" s="118" customFormat="1" ht="14.25">
      <c r="B37" s="83" t="s">
        <v>182</v>
      </c>
      <c r="C37" s="83"/>
      <c r="D37" s="84">
        <v>14</v>
      </c>
      <c r="E37" s="84">
        <v>16.7</v>
      </c>
      <c r="F37" s="84">
        <v>18.4</v>
      </c>
      <c r="G37" s="84">
        <v>15.8</v>
      </c>
      <c r="H37" s="121">
        <v>17.1</v>
      </c>
      <c r="I37" s="84"/>
      <c r="J37" s="84">
        <v>16.7</v>
      </c>
      <c r="K37" s="85">
        <v>16.2</v>
      </c>
      <c r="L37" s="85">
        <v>16.1</v>
      </c>
      <c r="M37" s="85">
        <v>16.7</v>
      </c>
      <c r="N37" s="85">
        <v>17.1</v>
      </c>
      <c r="O37" s="85">
        <v>16.5</v>
      </c>
      <c r="P37" s="85">
        <v>16.3</v>
      </c>
      <c r="Q37" s="85">
        <v>18.4</v>
      </c>
      <c r="R37" s="84">
        <v>17.2</v>
      </c>
      <c r="S37" s="84">
        <v>16.5</v>
      </c>
      <c r="T37" s="84">
        <v>15.5</v>
      </c>
      <c r="U37" s="84">
        <v>15.8</v>
      </c>
      <c r="V37" s="84">
        <v>16.4</v>
      </c>
      <c r="W37" s="84">
        <v>15.4</v>
      </c>
      <c r="X37" s="84">
        <v>16.5</v>
      </c>
      <c r="Y37" s="84">
        <v>17.1</v>
      </c>
      <c r="Z37" s="432">
        <v>15.5</v>
      </c>
      <c r="AA37" s="432">
        <v>15.5</v>
      </c>
      <c r="AB37" s="407">
        <v>15.9</v>
      </c>
      <c r="AC37" s="380">
        <f t="shared" si="10"/>
        <v>0.40000000000000036</v>
      </c>
      <c r="AD37" s="380">
        <f t="shared" si="11"/>
        <v>-0.5999999999999996</v>
      </c>
      <c r="AE37" s="377"/>
      <c r="AF37" s="482">
        <v>16.5</v>
      </c>
      <c r="AG37" s="407">
        <v>15.9</v>
      </c>
      <c r="AH37" s="377">
        <f>AG37-AF37</f>
        <v>-0.5999999999999996</v>
      </c>
      <c r="AJ37" s="457">
        <v>15.4</v>
      </c>
      <c r="AK37" s="450">
        <f>AA37</f>
        <v>15.5</v>
      </c>
      <c r="AL37" s="377">
        <f>AK37-AJ37</f>
        <v>0.09999999999999964</v>
      </c>
    </row>
    <row r="38" spans="8:34" ht="14.25">
      <c r="H38" s="121"/>
      <c r="Z38" s="121"/>
      <c r="AA38" s="121"/>
      <c r="AB38" s="122"/>
      <c r="AC38" s="84"/>
      <c r="AD38" s="84"/>
      <c r="AE38" s="121"/>
      <c r="AF38" s="482"/>
      <c r="AG38" s="489"/>
      <c r="AH38" s="121"/>
    </row>
    <row r="39" spans="2:34" ht="14.25">
      <c r="B39" s="131"/>
      <c r="Z39" s="121"/>
      <c r="AA39" s="121"/>
      <c r="AB39" s="122"/>
      <c r="AC39" s="121"/>
      <c r="AD39" s="121"/>
      <c r="AE39" s="121"/>
      <c r="AF39" s="482"/>
      <c r="AG39" s="489"/>
      <c r="AH39" s="121"/>
    </row>
    <row r="40" spans="26:34" ht="14.25">
      <c r="Z40" s="121"/>
      <c r="AA40" s="121"/>
      <c r="AB40" s="122"/>
      <c r="AC40" s="121"/>
      <c r="AD40" s="121"/>
      <c r="AE40" s="121"/>
      <c r="AF40" s="140"/>
      <c r="AG40" s="122"/>
      <c r="AH40" s="121"/>
    </row>
    <row r="41" spans="26:34" ht="14.25">
      <c r="Z41" s="121"/>
      <c r="AA41" s="121"/>
      <c r="AB41" s="489"/>
      <c r="AC41" s="121"/>
      <c r="AD41" s="121"/>
      <c r="AE41" s="121"/>
      <c r="AF41" s="140"/>
      <c r="AG41" s="122"/>
      <c r="AH41" s="121"/>
    </row>
    <row r="42" spans="26:34" ht="14.25">
      <c r="Z42" s="121"/>
      <c r="AA42" s="121"/>
      <c r="AB42" s="122"/>
      <c r="AC42" s="121"/>
      <c r="AD42" s="121"/>
      <c r="AE42" s="121"/>
      <c r="AF42" s="140"/>
      <c r="AG42" s="122"/>
      <c r="AH42" s="121"/>
    </row>
    <row r="43" spans="26:28" ht="14.25">
      <c r="Z43" s="165"/>
      <c r="AA43" s="165"/>
      <c r="AB43" s="143"/>
    </row>
    <row r="44" spans="26:28" ht="14.25">
      <c r="Z44" s="165"/>
      <c r="AA44" s="165"/>
      <c r="AB44" s="143"/>
    </row>
    <row r="45" spans="26:28" ht="14.25">
      <c r="Z45" s="165"/>
      <c r="AA45" s="165"/>
      <c r="AB45" s="143"/>
    </row>
  </sheetData>
  <sheetProtection/>
  <mergeCells count="1">
    <mergeCell ref="A2:C2"/>
  </mergeCells>
  <hyperlinks>
    <hyperlink ref="A2" location="Index!A1" display="Back to Index"/>
  </hyperlinks>
  <printOptions gridLines="1"/>
  <pageMargins left="0.5" right="0.25" top="1" bottom="1" header="0.5" footer="0.5"/>
  <pageSetup fitToHeight="1" fitToWidth="1" horizontalDpi="600" verticalDpi="600" orientation="landscape" paperSize="9" scale="81" r:id="rId1"/>
  <headerFooter alignWithMargins="0">
    <oddFooter>&amp;L&amp;D &amp;T&amp;R&amp;F&amp;A</oddFooter>
  </headerFooter>
  <ignoredErrors>
    <ignoredError sqref="AG29 AG5:AG15" formulaRange="1"/>
    <ignoredError sqref="Z30" evalError="1"/>
    <ignoredError sqref="AH23" formula="1"/>
  </ignoredErrors>
</worksheet>
</file>

<file path=xl/worksheets/sheet20.xml><?xml version="1.0" encoding="utf-8"?>
<worksheet xmlns="http://schemas.openxmlformats.org/spreadsheetml/2006/main" xmlns:r="http://schemas.openxmlformats.org/officeDocument/2006/relationships">
  <sheetPr>
    <tabColor indexed="18"/>
    <pageSetUpPr fitToPage="1"/>
  </sheetPr>
  <dimension ref="A1:AK30"/>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G18" sqref="AG18"/>
    </sheetView>
  </sheetViews>
  <sheetFormatPr defaultColWidth="9.140625" defaultRowHeight="12.75" outlineLevelCol="1"/>
  <cols>
    <col min="1" max="1" width="4.00390625" style="20" customWidth="1"/>
    <col min="2" max="2" width="4.28125" style="20" customWidth="1"/>
    <col min="3" max="3" width="33.00390625" style="5" customWidth="1"/>
    <col min="4" max="4" width="9.8515625" style="126" hidden="1" customWidth="1" outlineLevel="1"/>
    <col min="5" max="8" width="9.8515625" style="121" hidden="1" customWidth="1" outlineLevel="1"/>
    <col min="9" max="9" width="2.14062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3" width="9.8515625" style="121" customWidth="1" collapsed="1"/>
    <col min="24" max="25" width="9.8515625" style="121" customWidth="1"/>
    <col min="26" max="27" width="9.8515625" style="121" bestFit="1" customWidth="1"/>
    <col min="28" max="28" width="9.8515625" style="122" bestFit="1" customWidth="1"/>
    <col min="29" max="29" width="9.57421875" style="121" bestFit="1" customWidth="1"/>
    <col min="30" max="30" width="6.57421875" style="121" bestFit="1" customWidth="1"/>
    <col min="31" max="31" width="3.421875" style="121" customWidth="1"/>
    <col min="32" max="32" width="9.8515625" style="121" customWidth="1"/>
    <col min="33" max="33" width="10.421875" style="122" customWidth="1"/>
    <col min="34" max="34" width="10.140625" style="121" customWidth="1"/>
    <col min="35" max="35" width="9.8515625" style="121" hidden="1" customWidth="1"/>
    <col min="36" max="36" width="11.57421875" style="122" hidden="1" customWidth="1"/>
    <col min="37" max="37" width="10.140625" style="121" hidden="1" customWidth="1"/>
    <col min="38" max="16384" width="9.140625" style="20" customWidth="1"/>
  </cols>
  <sheetData>
    <row r="1" spans="1:37" s="42" customFormat="1" ht="20.25">
      <c r="A1" s="41" t="s">
        <v>48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+'1.Highlights'!AC2</f>
        <v>3Q13
vs 
2Q13</v>
      </c>
      <c r="AD2" s="285" t="str">
        <f>+'1.Highlights'!AD2</f>
        <v>3Q13
vs 
3Q12</v>
      </c>
      <c r="AF2" s="74" t="s">
        <v>442</v>
      </c>
      <c r="AG2" s="74" t="s">
        <v>443</v>
      </c>
      <c r="AH2" s="285" t="s">
        <v>444</v>
      </c>
      <c r="AI2" s="285" t="str">
        <f>+'18.Others'!AI2</f>
        <v>9M12</v>
      </c>
      <c r="AJ2" s="285" t="str">
        <f>+'18.Others'!AJ2</f>
        <v>9M13</v>
      </c>
      <c r="AK2" s="285" t="str">
        <f>+'18.Others'!AK2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0"/>
      <c r="AA3" s="170"/>
      <c r="AB3" s="141"/>
      <c r="AC3" s="17"/>
      <c r="AD3" s="17"/>
      <c r="AE3" s="32"/>
      <c r="AF3" s="17"/>
      <c r="AG3" s="353"/>
      <c r="AH3" s="17"/>
      <c r="AI3" s="17"/>
      <c r="AJ3" s="462"/>
      <c r="AK3" s="17"/>
    </row>
    <row r="4" spans="2:37" ht="14.25">
      <c r="B4" s="101" t="s">
        <v>5</v>
      </c>
      <c r="C4" s="20"/>
      <c r="D4" s="121">
        <v>2869</v>
      </c>
      <c r="E4" s="121">
        <v>2738</v>
      </c>
      <c r="F4" s="121">
        <v>2683</v>
      </c>
      <c r="G4" s="121">
        <v>2906</v>
      </c>
      <c r="H4" s="121">
        <v>3209</v>
      </c>
      <c r="J4" s="121">
        <v>655</v>
      </c>
      <c r="K4" s="121">
        <v>673</v>
      </c>
      <c r="L4" s="121">
        <v>706</v>
      </c>
      <c r="M4" s="121">
        <v>704</v>
      </c>
      <c r="N4" s="121">
        <v>657</v>
      </c>
      <c r="O4" s="121">
        <v>643</v>
      </c>
      <c r="P4" s="121">
        <v>679</v>
      </c>
      <c r="Q4" s="121">
        <v>704</v>
      </c>
      <c r="R4" s="121">
        <v>700</v>
      </c>
      <c r="S4" s="121">
        <v>728</v>
      </c>
      <c r="T4" s="121">
        <v>712</v>
      </c>
      <c r="U4" s="121">
        <v>766</v>
      </c>
      <c r="V4" s="121">
        <v>809</v>
      </c>
      <c r="W4" s="121">
        <v>782</v>
      </c>
      <c r="X4" s="121">
        <v>813</v>
      </c>
      <c r="Y4" s="121">
        <v>805</v>
      </c>
      <c r="Z4" s="121">
        <v>835</v>
      </c>
      <c r="AA4" s="121">
        <v>864</v>
      </c>
      <c r="AB4" s="122">
        <f>AG4-Z4-AA4</f>
        <v>880</v>
      </c>
      <c r="AC4" s="121">
        <f>IF(AND(AB4=0,AB4=0),0,IF(OR(AND(AB4&gt;0,AA4&lt;=0),AND(AB4&lt;0,AA4&gt;=0)),"nm",IF(AND(AB4&lt;0,AA4&lt;0),IF(-(AB4/AA4-1)*100&lt;-100,"(&gt;100)",-(AB4/AA4-1)*100),IF((AB4/AA4-1)*100&gt;100,"&gt;100",(AB4/AA4-1)*100))))</f>
        <v>1.85185185185186</v>
      </c>
      <c r="AD4" s="121">
        <f>IF(AND(AB4=0,X4=0),0,IF(OR(AND(AB4&gt;0,X4&lt;=0),AND(AB4&lt;0,X4&gt;=0)),"nm",IF(AND(AB4&lt;0,X4&lt;0),IF(-(AB4/X4-1)*100&lt;-100,"(&gt;100)",-(AB4/X4-1)*100),IF((AB4/X4-1)*100&gt;100,"&gt;100",(AB4/X4-1)*100))))</f>
        <v>8.241082410824108</v>
      </c>
      <c r="AF4" s="121">
        <v>2404</v>
      </c>
      <c r="AG4" s="122">
        <v>2579</v>
      </c>
      <c r="AH4" s="121">
        <f>IF(AND(AG4=0,AF4=0),0,IF(OR(AND(AG4&gt;0,AF4&lt;=0),AND(AG4&lt;0,AF4&gt;=0)),"nm",IF(AND(AG4&lt;0,AF4&lt;0),IF(-(AG4/AF4-1)*100&lt;-100,"(&gt;100)",-(AG4/AF4-1)*100),IF((AG4/AF4-1)*100&gt;100,"&gt;100",(AG4/AF4-1)*100))))</f>
        <v>7.279534109816965</v>
      </c>
      <c r="AI4" s="121">
        <f aca="true" t="shared" si="0" ref="AI4:AI12">SUM(V4:W4)</f>
        <v>1591</v>
      </c>
      <c r="AJ4" s="122">
        <f>SUM(Z4:AA4)</f>
        <v>1699</v>
      </c>
      <c r="AK4" s="121">
        <f>IF(AND(AJ4=0,AI4=0),0,IF(OR(AND(AJ4&gt;0,AI4&lt;=0),AND(AJ4&lt;0,AI4&gt;=0)),"nm",IF(AND(AJ4&lt;0,AI4&lt;0),IF(-(AJ4/AI4-1)*100&lt;-100,"(&gt;100)",-(AJ4/AI4-1)*100),IF((AJ4/AI4-1)*100&gt;100,"&gt;100",(AJ4/AI4-1)*100))))</f>
        <v>6.788183532369585</v>
      </c>
    </row>
    <row r="5" spans="2:37" ht="14.25">
      <c r="B5" s="101" t="s">
        <v>25</v>
      </c>
      <c r="C5" s="20"/>
      <c r="D5" s="121">
        <v>803</v>
      </c>
      <c r="E5" s="121">
        <v>1253</v>
      </c>
      <c r="F5" s="121">
        <v>1743</v>
      </c>
      <c r="G5" s="121">
        <v>1813</v>
      </c>
      <c r="H5" s="121">
        <v>1757</v>
      </c>
      <c r="J5" s="121">
        <v>304</v>
      </c>
      <c r="K5" s="121">
        <v>471</v>
      </c>
      <c r="L5" s="121">
        <v>228</v>
      </c>
      <c r="M5" s="121">
        <v>250</v>
      </c>
      <c r="N5" s="121">
        <v>369</v>
      </c>
      <c r="O5" s="121">
        <v>513</v>
      </c>
      <c r="P5" s="121">
        <v>444</v>
      </c>
      <c r="Q5" s="121">
        <v>417</v>
      </c>
      <c r="R5" s="121">
        <v>466</v>
      </c>
      <c r="S5" s="121">
        <v>394</v>
      </c>
      <c r="T5" s="121">
        <v>549</v>
      </c>
      <c r="U5" s="121">
        <v>404</v>
      </c>
      <c r="V5" s="121">
        <v>527</v>
      </c>
      <c r="W5" s="121">
        <v>374</v>
      </c>
      <c r="X5" s="121">
        <v>463</v>
      </c>
      <c r="Y5" s="121">
        <v>393</v>
      </c>
      <c r="Z5" s="121">
        <v>614</v>
      </c>
      <c r="AA5" s="121">
        <v>505</v>
      </c>
      <c r="AB5" s="122">
        <f aca="true" t="shared" si="1" ref="AB5:AB12">AG5-Z5-AA5</f>
        <v>395</v>
      </c>
      <c r="AC5" s="121">
        <f aca="true" t="shared" si="2" ref="AC5:AC12">IF(AND(AB5=0,AB5=0),0,IF(OR(AND(AB5&gt;0,AA5&lt;=0),AND(AB5&lt;0,AA5&gt;=0)),"nm",IF(AND(AB5&lt;0,AA5&lt;0),IF(-(AB5/AA5-1)*100&lt;-100,"(&gt;100)",-(AB5/AA5-1)*100),IF((AB5/AA5-1)*100&gt;100,"&gt;100",(AB5/AA5-1)*100))))</f>
        <v>-21.78217821782178</v>
      </c>
      <c r="AD5" s="121">
        <f aca="true" t="shared" si="3" ref="AD5:AD12">IF(AND(AB5=0,X5=0),0,IF(OR(AND(AB5&gt;0,X5&lt;=0),AND(AB5&lt;0,X5&gt;=0)),"nm",IF(AND(AB5&lt;0,X5&lt;0),IF(-(AB5/X5-1)*100&lt;-100,"(&gt;100)",-(AB5/X5-1)*100),IF((AB5/X5-1)*100&gt;100,"&gt;100",(AB5/X5-1)*100))))</f>
        <v>-14.686825053995678</v>
      </c>
      <c r="AF5" s="121">
        <v>1364</v>
      </c>
      <c r="AG5" s="122">
        <v>1514</v>
      </c>
      <c r="AH5" s="121">
        <f aca="true" t="shared" si="4" ref="AH5:AH12">IF(AND(AG5=0,AF5=0),0,IF(OR(AND(AG5&gt;0,AF5&lt;=0),AND(AG5&lt;0,AF5&gt;=0)),"nm",IF(AND(AG5&lt;0,AF5&lt;0),IF(-(AG5/AF5-1)*100&lt;-100,"(&gt;100)",-(AG5/AF5-1)*100),IF((AG5/AF5-1)*100&gt;100,"&gt;100",(AG5/AF5-1)*100))))</f>
        <v>10.997067448680342</v>
      </c>
      <c r="AI5" s="121">
        <f t="shared" si="0"/>
        <v>901</v>
      </c>
      <c r="AJ5" s="122">
        <f>SUM(Z5:AA5)</f>
        <v>1119</v>
      </c>
      <c r="AK5" s="121">
        <f aca="true" t="shared" si="5" ref="AK5:AK12">IF(AND(AJ5=0,AI5=0),0,IF(OR(AND(AJ5&gt;0,AI5&lt;=0),AND(AJ5&lt;0,AI5&gt;=0)),"nm",IF(AND(AJ5&lt;0,AI5&lt;0),IF(-(AJ5/AI5-1)*100&lt;-100,"(&gt;100)",-(AJ5/AI5-1)*100),IF((AJ5/AI5-1)*100&gt;100,"&gt;100",(AJ5/AI5-1)*100))))</f>
        <v>24.195338512763588</v>
      </c>
    </row>
    <row r="6" spans="2:37" ht="14.25">
      <c r="B6" s="101" t="s">
        <v>6</v>
      </c>
      <c r="C6" s="20"/>
      <c r="D6" s="121">
        <v>3672</v>
      </c>
      <c r="E6" s="121">
        <v>3991</v>
      </c>
      <c r="F6" s="121">
        <v>4426</v>
      </c>
      <c r="G6" s="121">
        <v>4719</v>
      </c>
      <c r="H6" s="121">
        <v>4966</v>
      </c>
      <c r="J6" s="121">
        <v>959</v>
      </c>
      <c r="K6" s="121">
        <v>1144</v>
      </c>
      <c r="L6" s="121">
        <v>934</v>
      </c>
      <c r="M6" s="121">
        <v>954</v>
      </c>
      <c r="N6" s="121">
        <v>1026</v>
      </c>
      <c r="O6" s="121">
        <v>1156</v>
      </c>
      <c r="P6" s="121">
        <v>1123</v>
      </c>
      <c r="Q6" s="121">
        <v>1121</v>
      </c>
      <c r="R6" s="121">
        <v>1166</v>
      </c>
      <c r="S6" s="121">
        <v>1122</v>
      </c>
      <c r="T6" s="121">
        <v>1261</v>
      </c>
      <c r="U6" s="121">
        <v>1170</v>
      </c>
      <c r="V6" s="121">
        <v>1336</v>
      </c>
      <c r="W6" s="121">
        <v>1156</v>
      </c>
      <c r="X6" s="121">
        <v>1276</v>
      </c>
      <c r="Y6" s="121">
        <v>1198</v>
      </c>
      <c r="Z6" s="121">
        <f>SUM(Z4:Z5)</f>
        <v>1449</v>
      </c>
      <c r="AA6" s="121">
        <f>SUM(AA4:AA5)</f>
        <v>1369</v>
      </c>
      <c r="AB6" s="122">
        <f t="shared" si="1"/>
        <v>1275</v>
      </c>
      <c r="AC6" s="121">
        <f t="shared" si="2"/>
        <v>-6.866325785244709</v>
      </c>
      <c r="AD6" s="121">
        <f t="shared" si="3"/>
        <v>-0.07836990595611049</v>
      </c>
      <c r="AF6" s="121">
        <v>3768</v>
      </c>
      <c r="AG6" s="122">
        <v>4093</v>
      </c>
      <c r="AH6" s="121">
        <f t="shared" si="4"/>
        <v>8.625265392781323</v>
      </c>
      <c r="AI6" s="121">
        <f t="shared" si="0"/>
        <v>2492</v>
      </c>
      <c r="AJ6" s="122">
        <f aca="true" t="shared" si="6" ref="AJ6:AJ12">SUM(Z6:AA6)</f>
        <v>2818</v>
      </c>
      <c r="AK6" s="121">
        <f t="shared" si="5"/>
        <v>13.081861958266462</v>
      </c>
    </row>
    <row r="7" spans="2:37" ht="14.25">
      <c r="B7" s="101" t="s">
        <v>0</v>
      </c>
      <c r="C7" s="20"/>
      <c r="D7" s="121">
        <v>1467</v>
      </c>
      <c r="E7" s="121">
        <v>1512</v>
      </c>
      <c r="F7" s="121">
        <v>1611</v>
      </c>
      <c r="G7" s="121">
        <v>1948</v>
      </c>
      <c r="H7" s="121">
        <v>2088</v>
      </c>
      <c r="J7" s="121">
        <v>375</v>
      </c>
      <c r="K7" s="121">
        <v>360</v>
      </c>
      <c r="L7" s="121">
        <v>367</v>
      </c>
      <c r="M7" s="121">
        <v>410</v>
      </c>
      <c r="N7" s="121">
        <v>419</v>
      </c>
      <c r="O7" s="121">
        <v>323</v>
      </c>
      <c r="P7" s="121">
        <v>424</v>
      </c>
      <c r="Q7" s="121">
        <v>445</v>
      </c>
      <c r="R7" s="121">
        <v>465</v>
      </c>
      <c r="S7" s="121">
        <v>476</v>
      </c>
      <c r="T7" s="121">
        <v>517</v>
      </c>
      <c r="U7" s="121">
        <v>490</v>
      </c>
      <c r="V7" s="121">
        <v>554</v>
      </c>
      <c r="W7" s="121">
        <v>505</v>
      </c>
      <c r="X7" s="121">
        <v>527</v>
      </c>
      <c r="Y7" s="121">
        <v>502</v>
      </c>
      <c r="Z7" s="121">
        <v>579</v>
      </c>
      <c r="AA7" s="121">
        <v>575</v>
      </c>
      <c r="AB7" s="122">
        <f t="shared" si="1"/>
        <v>530</v>
      </c>
      <c r="AC7" s="121">
        <f t="shared" si="2"/>
        <v>-7.826086956521738</v>
      </c>
      <c r="AD7" s="121">
        <f t="shared" si="3"/>
        <v>0.5692599620493288</v>
      </c>
      <c r="AF7" s="121">
        <v>1586</v>
      </c>
      <c r="AG7" s="122">
        <v>1684</v>
      </c>
      <c r="AH7" s="121">
        <f t="shared" si="4"/>
        <v>6.179066834804536</v>
      </c>
      <c r="AI7" s="121">
        <f t="shared" si="0"/>
        <v>1059</v>
      </c>
      <c r="AJ7" s="122">
        <f t="shared" si="6"/>
        <v>1154</v>
      </c>
      <c r="AK7" s="121">
        <f t="shared" si="5"/>
        <v>8.970727101038722</v>
      </c>
    </row>
    <row r="8" spans="2:37" ht="14.25">
      <c r="B8" s="101" t="s">
        <v>8</v>
      </c>
      <c r="C8" s="20"/>
      <c r="D8" s="121">
        <v>423</v>
      </c>
      <c r="E8" s="121">
        <v>1034</v>
      </c>
      <c r="F8" s="121">
        <v>652</v>
      </c>
      <c r="G8" s="121">
        <v>492</v>
      </c>
      <c r="H8" s="121">
        <v>318</v>
      </c>
      <c r="J8" s="121">
        <v>226</v>
      </c>
      <c r="K8" s="121">
        <v>372</v>
      </c>
      <c r="L8" s="121">
        <v>227</v>
      </c>
      <c r="M8" s="121">
        <v>209</v>
      </c>
      <c r="N8" s="121">
        <v>278</v>
      </c>
      <c r="O8" s="121">
        <v>148</v>
      </c>
      <c r="P8" s="121">
        <v>115</v>
      </c>
      <c r="Q8" s="121">
        <v>111</v>
      </c>
      <c r="R8" s="121">
        <v>113</v>
      </c>
      <c r="S8" s="121">
        <v>61</v>
      </c>
      <c r="T8" s="121">
        <v>139</v>
      </c>
      <c r="U8" s="121">
        <v>179</v>
      </c>
      <c r="V8" s="121">
        <v>119</v>
      </c>
      <c r="W8" s="121">
        <v>80</v>
      </c>
      <c r="X8" s="121">
        <v>69</v>
      </c>
      <c r="Y8" s="121">
        <v>50</v>
      </c>
      <c r="Z8" s="121">
        <v>98</v>
      </c>
      <c r="AA8" s="121">
        <v>143</v>
      </c>
      <c r="AB8" s="122">
        <f t="shared" si="1"/>
        <v>18</v>
      </c>
      <c r="AC8" s="121">
        <f t="shared" si="2"/>
        <v>-87.41258741258741</v>
      </c>
      <c r="AD8" s="121">
        <f t="shared" si="3"/>
        <v>-73.91304347826086</v>
      </c>
      <c r="AF8" s="121">
        <v>268</v>
      </c>
      <c r="AG8" s="122">
        <v>259</v>
      </c>
      <c r="AH8" s="121">
        <f t="shared" si="4"/>
        <v>-3.3582089552238847</v>
      </c>
      <c r="AI8" s="121">
        <f t="shared" si="0"/>
        <v>199</v>
      </c>
      <c r="AJ8" s="122">
        <f t="shared" si="6"/>
        <v>241</v>
      </c>
      <c r="AK8" s="121">
        <f t="shared" si="5"/>
        <v>21.105527638190956</v>
      </c>
    </row>
    <row r="9" spans="2:37" ht="14.25">
      <c r="B9" s="102" t="s">
        <v>67</v>
      </c>
      <c r="C9" s="20"/>
      <c r="D9" s="121">
        <v>21</v>
      </c>
      <c r="E9" s="121">
        <v>16</v>
      </c>
      <c r="F9" s="121">
        <v>10</v>
      </c>
      <c r="G9" s="121">
        <v>20</v>
      </c>
      <c r="H9" s="121">
        <v>19</v>
      </c>
      <c r="J9" s="121">
        <v>3</v>
      </c>
      <c r="K9" s="121">
        <v>4</v>
      </c>
      <c r="L9" s="121">
        <v>6</v>
      </c>
      <c r="M9" s="121">
        <v>3</v>
      </c>
      <c r="N9" s="121">
        <v>3</v>
      </c>
      <c r="O9" s="121">
        <v>2</v>
      </c>
      <c r="P9" s="121">
        <v>2</v>
      </c>
      <c r="Q9" s="121">
        <v>3</v>
      </c>
      <c r="R9" s="121">
        <v>3</v>
      </c>
      <c r="S9" s="121">
        <v>5</v>
      </c>
      <c r="T9" s="121">
        <v>7</v>
      </c>
      <c r="U9" s="121">
        <v>5</v>
      </c>
      <c r="V9" s="121">
        <v>5</v>
      </c>
      <c r="W9" s="121">
        <v>8</v>
      </c>
      <c r="X9" s="121">
        <v>5</v>
      </c>
      <c r="Y9" s="121">
        <v>1</v>
      </c>
      <c r="Z9" s="121">
        <v>4</v>
      </c>
      <c r="AA9" s="121">
        <v>3</v>
      </c>
      <c r="AB9" s="122">
        <f t="shared" si="1"/>
        <v>4</v>
      </c>
      <c r="AC9" s="121">
        <f t="shared" si="2"/>
        <v>33.33333333333333</v>
      </c>
      <c r="AD9" s="121">
        <f t="shared" si="3"/>
        <v>-19.999999999999996</v>
      </c>
      <c r="AF9" s="121">
        <v>18</v>
      </c>
      <c r="AG9" s="122">
        <v>11</v>
      </c>
      <c r="AH9" s="121">
        <f t="shared" si="4"/>
        <v>-38.888888888888886</v>
      </c>
      <c r="AI9" s="121">
        <f>SUM(V9:W9)</f>
        <v>13</v>
      </c>
      <c r="AJ9" s="122">
        <f t="shared" si="6"/>
        <v>7</v>
      </c>
      <c r="AK9" s="121">
        <f t="shared" si="5"/>
        <v>-46.15384615384615</v>
      </c>
    </row>
    <row r="10" spans="2:37" ht="14.25">
      <c r="B10" s="102" t="s">
        <v>9</v>
      </c>
      <c r="C10" s="20"/>
      <c r="D10" s="121">
        <v>1803</v>
      </c>
      <c r="E10" s="121">
        <v>1461</v>
      </c>
      <c r="F10" s="121">
        <v>2173</v>
      </c>
      <c r="G10" s="121">
        <v>2299</v>
      </c>
      <c r="H10" s="121">
        <v>2579</v>
      </c>
      <c r="J10" s="121">
        <v>361</v>
      </c>
      <c r="K10" s="121">
        <v>416</v>
      </c>
      <c r="L10" s="121">
        <v>346</v>
      </c>
      <c r="M10" s="121">
        <v>338</v>
      </c>
      <c r="N10" s="121">
        <v>332</v>
      </c>
      <c r="O10" s="121">
        <v>687</v>
      </c>
      <c r="P10" s="121">
        <v>586</v>
      </c>
      <c r="Q10" s="121">
        <v>568</v>
      </c>
      <c r="R10" s="121">
        <v>591</v>
      </c>
      <c r="S10" s="121">
        <v>590</v>
      </c>
      <c r="T10" s="121">
        <v>612</v>
      </c>
      <c r="U10" s="121">
        <v>506</v>
      </c>
      <c r="V10" s="121">
        <v>668</v>
      </c>
      <c r="W10" s="121">
        <v>579</v>
      </c>
      <c r="X10" s="121">
        <v>685</v>
      </c>
      <c r="Y10" s="121">
        <v>647</v>
      </c>
      <c r="Z10" s="121">
        <v>776</v>
      </c>
      <c r="AA10" s="121">
        <v>654</v>
      </c>
      <c r="AB10" s="122">
        <f t="shared" si="1"/>
        <v>731</v>
      </c>
      <c r="AC10" s="121">
        <f t="shared" si="2"/>
        <v>11.773700305810397</v>
      </c>
      <c r="AD10" s="121">
        <f t="shared" si="3"/>
        <v>6.715328467153281</v>
      </c>
      <c r="AF10" s="121">
        <v>1932</v>
      </c>
      <c r="AG10" s="122">
        <v>2161</v>
      </c>
      <c r="AH10" s="121">
        <f t="shared" si="4"/>
        <v>11.85300207039337</v>
      </c>
      <c r="AI10" s="121">
        <f t="shared" si="0"/>
        <v>1247</v>
      </c>
      <c r="AJ10" s="122">
        <f t="shared" si="6"/>
        <v>1430</v>
      </c>
      <c r="AK10" s="121">
        <f t="shared" si="5"/>
        <v>14.675220529270238</v>
      </c>
    </row>
    <row r="11" spans="2:37" ht="14.25">
      <c r="B11" s="102" t="s">
        <v>68</v>
      </c>
      <c r="C11" s="20"/>
      <c r="D11" s="121">
        <v>249</v>
      </c>
      <c r="E11" s="121">
        <v>88</v>
      </c>
      <c r="F11" s="121">
        <v>257</v>
      </c>
      <c r="G11" s="121">
        <v>168</v>
      </c>
      <c r="H11" s="121">
        <v>290</v>
      </c>
      <c r="J11" s="121">
        <v>43</v>
      </c>
      <c r="K11" s="121">
        <v>40</v>
      </c>
      <c r="L11" s="121">
        <v>50</v>
      </c>
      <c r="M11" s="121">
        <v>-45</v>
      </c>
      <c r="N11" s="121">
        <v>26</v>
      </c>
      <c r="O11" s="121">
        <v>96</v>
      </c>
      <c r="P11" s="121">
        <v>105</v>
      </c>
      <c r="Q11" s="121">
        <v>30</v>
      </c>
      <c r="R11" s="121">
        <v>61</v>
      </c>
      <c r="S11" s="121">
        <v>68</v>
      </c>
      <c r="T11" s="121">
        <v>54</v>
      </c>
      <c r="U11" s="121">
        <v>-15</v>
      </c>
      <c r="V11" s="121">
        <v>71</v>
      </c>
      <c r="W11" s="121">
        <v>65</v>
      </c>
      <c r="X11" s="121">
        <v>95</v>
      </c>
      <c r="Y11" s="121">
        <v>59</v>
      </c>
      <c r="Z11" s="121">
        <v>83</v>
      </c>
      <c r="AA11" s="121">
        <v>94</v>
      </c>
      <c r="AB11" s="122">
        <f t="shared" si="1"/>
        <v>76</v>
      </c>
      <c r="AC11" s="121">
        <f t="shared" si="2"/>
        <v>-19.14893617021277</v>
      </c>
      <c r="AD11" s="121">
        <f t="shared" si="3"/>
        <v>-19.999999999999996</v>
      </c>
      <c r="AF11" s="121">
        <v>231</v>
      </c>
      <c r="AG11" s="122">
        <v>253</v>
      </c>
      <c r="AH11" s="121">
        <f t="shared" si="4"/>
        <v>9.523809523809534</v>
      </c>
      <c r="AI11" s="121">
        <f t="shared" si="0"/>
        <v>136</v>
      </c>
      <c r="AJ11" s="122">
        <f t="shared" si="6"/>
        <v>177</v>
      </c>
      <c r="AK11" s="121">
        <f t="shared" si="5"/>
        <v>30.147058823529417</v>
      </c>
    </row>
    <row r="12" spans="2:37" ht="14.25">
      <c r="B12" s="102" t="s">
        <v>53</v>
      </c>
      <c r="C12" s="20"/>
      <c r="D12" s="121">
        <v>1344</v>
      </c>
      <c r="E12" s="121">
        <v>1186</v>
      </c>
      <c r="F12" s="121">
        <v>1688</v>
      </c>
      <c r="G12" s="121">
        <v>1877</v>
      </c>
      <c r="H12" s="121">
        <v>2079</v>
      </c>
      <c r="J12" s="121">
        <v>259</v>
      </c>
      <c r="K12" s="121">
        <v>324</v>
      </c>
      <c r="L12" s="121">
        <v>268</v>
      </c>
      <c r="M12" s="121">
        <v>335</v>
      </c>
      <c r="N12" s="121">
        <v>249</v>
      </c>
      <c r="O12" s="121">
        <v>538</v>
      </c>
      <c r="P12" s="121">
        <v>430</v>
      </c>
      <c r="Q12" s="121">
        <v>471</v>
      </c>
      <c r="R12" s="121">
        <v>442</v>
      </c>
      <c r="S12" s="121">
        <v>459</v>
      </c>
      <c r="T12" s="121">
        <v>506</v>
      </c>
      <c r="U12" s="121">
        <v>470</v>
      </c>
      <c r="V12" s="121">
        <v>547</v>
      </c>
      <c r="W12" s="121">
        <v>462</v>
      </c>
      <c r="X12" s="121">
        <v>535</v>
      </c>
      <c r="Y12" s="121">
        <v>535</v>
      </c>
      <c r="Z12" s="121">
        <v>641</v>
      </c>
      <c r="AA12" s="121">
        <v>510</v>
      </c>
      <c r="AB12" s="122">
        <f t="shared" si="1"/>
        <v>603</v>
      </c>
      <c r="AC12" s="121">
        <f t="shared" si="2"/>
        <v>18.23529411764706</v>
      </c>
      <c r="AD12" s="121">
        <f t="shared" si="3"/>
        <v>12.710280373831772</v>
      </c>
      <c r="AF12" s="121">
        <v>1544</v>
      </c>
      <c r="AG12" s="122">
        <v>1754</v>
      </c>
      <c r="AH12" s="121">
        <f t="shared" si="4"/>
        <v>13.601036269430056</v>
      </c>
      <c r="AI12" s="121">
        <f t="shared" si="0"/>
        <v>1009</v>
      </c>
      <c r="AJ12" s="122">
        <f t="shared" si="6"/>
        <v>1151</v>
      </c>
      <c r="AK12" s="121">
        <f t="shared" si="5"/>
        <v>14.07333994053519</v>
      </c>
    </row>
    <row r="13" spans="3:35" ht="14.25">
      <c r="C13" s="20"/>
      <c r="D13" s="121"/>
      <c r="H13" s="165"/>
      <c r="Z13" s="436"/>
      <c r="AA13" s="165"/>
      <c r="AB13" s="489"/>
      <c r="AF13" s="165"/>
      <c r="AI13" s="165"/>
    </row>
    <row r="14" spans="1:37"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437"/>
      <c r="AA14" s="169"/>
      <c r="AB14" s="498"/>
      <c r="AC14" s="17"/>
      <c r="AD14" s="17"/>
      <c r="AE14" s="32"/>
      <c r="AF14" s="169"/>
      <c r="AG14" s="498"/>
      <c r="AH14" s="17"/>
      <c r="AI14" s="169"/>
      <c r="AJ14" s="462"/>
      <c r="AK14" s="17"/>
    </row>
    <row r="15" spans="2:37" ht="14.25">
      <c r="B15" s="101" t="s">
        <v>71</v>
      </c>
      <c r="C15" s="20"/>
      <c r="D15" s="121">
        <v>74377</v>
      </c>
      <c r="E15" s="121">
        <v>75117</v>
      </c>
      <c r="F15" s="121">
        <v>91164</v>
      </c>
      <c r="G15" s="121">
        <v>117160</v>
      </c>
      <c r="H15" s="121">
        <v>137318</v>
      </c>
      <c r="J15" s="121">
        <v>74981</v>
      </c>
      <c r="K15" s="121">
        <v>73610</v>
      </c>
      <c r="L15" s="121">
        <v>74807</v>
      </c>
      <c r="M15" s="121">
        <v>75117</v>
      </c>
      <c r="N15" s="121">
        <v>77723</v>
      </c>
      <c r="O15" s="121">
        <v>84467</v>
      </c>
      <c r="P15" s="121">
        <v>86521</v>
      </c>
      <c r="Q15" s="121">
        <v>91164</v>
      </c>
      <c r="R15" s="121">
        <v>95294</v>
      </c>
      <c r="S15" s="121">
        <v>101450</v>
      </c>
      <c r="T15" s="121">
        <v>110352</v>
      </c>
      <c r="U15" s="121">
        <v>117160</v>
      </c>
      <c r="V15" s="121">
        <v>121757</v>
      </c>
      <c r="W15" s="121">
        <v>129185</v>
      </c>
      <c r="X15" s="121">
        <v>131646</v>
      </c>
      <c r="Y15" s="121">
        <v>137318</v>
      </c>
      <c r="Z15" s="121">
        <v>147084</v>
      </c>
      <c r="AA15" s="121">
        <v>153224</v>
      </c>
      <c r="AB15" s="122">
        <f>AG15</f>
        <v>156263</v>
      </c>
      <c r="AC15" s="121">
        <f>IF(AND(AB15=0,AB15=0),0,IF(OR(AND(AB15&gt;0,AA15&lt;=0),AND(AB15&lt;0,AA15&gt;=0)),"nm",IF(AND(AB15&lt;0,AA15&lt;0),IF(-(AB15/AA15-1)*100&lt;-100,"(&gt;100)",-(AB15/AA15-1)*100),IF((AB15/AA15-1)*100&gt;100,"&gt;100",(AB15/AA15-1)*100))))</f>
        <v>1.9833707513183363</v>
      </c>
      <c r="AD15" s="121">
        <f>IF(AND(AB15=0,X15=0),0,IF(OR(AND(AB15&gt;0,X15&lt;=0),AND(AB15&lt;0,X15&gt;=0)),"nm",IF(AND(AB15&lt;0,X15&lt;0),IF(-(AB15/X15-1)*100&lt;-100,"(&gt;100)",-(AB15/X15-1)*100),IF((AB15/X15-1)*100&gt;100,"&gt;100",(AB15/X15-1)*100))))</f>
        <v>18.699390790453172</v>
      </c>
      <c r="AF15" s="121">
        <v>131646</v>
      </c>
      <c r="AG15" s="122">
        <v>156263</v>
      </c>
      <c r="AH15" s="121">
        <f>IF(AND(AG15=0,AF15=0),0,IF(OR(AND(AG15&gt;0,AF15&lt;=0),AND(AG15&lt;0,AF15&gt;=0)),"nm",IF(AND(AG15&lt;0,AF15&lt;0),IF(-(AG15/AF15-1)*100&lt;-100,"(&gt;100)",-(AG15/AF15-1)*100),IF((AG15/AF15-1)*100&gt;100,"&gt;100",(AG15/AF15-1)*100))))</f>
        <v>18.699390790453172</v>
      </c>
      <c r="AI15" s="121">
        <f>W15</f>
        <v>129185</v>
      </c>
      <c r="AJ15" s="122">
        <f>AA15</f>
        <v>153224</v>
      </c>
      <c r="AK15" s="121">
        <f>IF(AND(AJ15=0,AI15=0),0,IF(OR(AND(AJ15&gt;0,AI15&lt;=0),AND(AJ15&lt;0,AI15&gt;=0)),"nm",IF(AND(AJ15&lt;0,AI15&lt;0),IF(-(AJ15/AI15-1)*100&lt;-100,"(&gt;100)",-(AJ15/AI15-1)*100),IF((AJ15/AI15-1)*100&gt;100,"&gt;100",(AJ15/AI15-1)*100))))</f>
        <v>18.60819754615475</v>
      </c>
    </row>
    <row r="16" spans="2:37" ht="14.25">
      <c r="B16" s="101" t="s">
        <v>72</v>
      </c>
      <c r="C16" s="20"/>
      <c r="D16" s="121">
        <v>170132</v>
      </c>
      <c r="E16" s="121">
        <v>165652</v>
      </c>
      <c r="F16" s="121">
        <v>179813</v>
      </c>
      <c r="G16" s="121">
        <v>207370</v>
      </c>
      <c r="H16" s="121">
        <v>225678</v>
      </c>
      <c r="J16" s="121">
        <v>180978</v>
      </c>
      <c r="K16" s="121">
        <v>169570</v>
      </c>
      <c r="L16" s="121">
        <v>165741</v>
      </c>
      <c r="M16" s="121">
        <v>165652</v>
      </c>
      <c r="N16" s="121">
        <v>163380</v>
      </c>
      <c r="O16" s="121">
        <v>172591</v>
      </c>
      <c r="P16" s="121">
        <v>176623</v>
      </c>
      <c r="Q16" s="121">
        <v>179813</v>
      </c>
      <c r="R16" s="121">
        <v>184024</v>
      </c>
      <c r="S16" s="121">
        <v>196201</v>
      </c>
      <c r="T16" s="121">
        <v>206550</v>
      </c>
      <c r="U16" s="121">
        <v>212002</v>
      </c>
      <c r="V16" s="121">
        <v>221871</v>
      </c>
      <c r="W16" s="121">
        <v>224531</v>
      </c>
      <c r="X16" s="121">
        <v>236463</v>
      </c>
      <c r="Y16" s="121">
        <v>225678</v>
      </c>
      <c r="Z16" s="121">
        <v>239379</v>
      </c>
      <c r="AA16" s="121">
        <v>246092</v>
      </c>
      <c r="AB16" s="122">
        <f>AG16</f>
        <v>254682</v>
      </c>
      <c r="AC16" s="121">
        <f>IF(AND(AB16=0,AB16=0),0,IF(OR(AND(AB16&gt;0,AA16&lt;=0),AND(AB16&lt;0,AA16&gt;=0)),"nm",IF(AND(AB16&lt;0,AA16&lt;0),IF(-(AB16/AA16-1)*100&lt;-100,"(&gt;100)",-(AB16/AA16-1)*100),IF((AB16/AA16-1)*100&gt;100,"&gt;100",(AB16/AA16-1)*100))))</f>
        <v>3.490564504331717</v>
      </c>
      <c r="AD16" s="121">
        <f>IF(AND(AB16=0,X16=0),0,IF(OR(AND(AB16&gt;0,X16&lt;=0),AND(AB16&lt;0,X16&gt;=0)),"nm",IF(AND(AB16&lt;0,X16&lt;0),IF(-(AB16/X16-1)*100&lt;-100,"(&gt;100)",-(AB16/X16-1)*100),IF((AB16/X16-1)*100&gt;100,"&gt;100",(AB16/X16-1)*100))))</f>
        <v>7.704799482371438</v>
      </c>
      <c r="AF16" s="121">
        <v>236463</v>
      </c>
      <c r="AG16" s="122">
        <v>254682</v>
      </c>
      <c r="AH16" s="121">
        <f>IF(AND(AG16=0,AF16=0),0,IF(OR(AND(AG16&gt;0,AF16&lt;=0),AND(AG16&lt;0,AF16&gt;=0)),"nm",IF(AND(AG16&lt;0,AF16&lt;0),IF(-(AG16/AF16-1)*100&lt;-100,"(&gt;100)",-(AG16/AF16-1)*100),IF((AG16/AF16-1)*100&gt;100,"&gt;100",(AG16/AF16-1)*100))))</f>
        <v>7.704799482371438</v>
      </c>
      <c r="AI16" s="121">
        <f>W16</f>
        <v>224531</v>
      </c>
      <c r="AJ16" s="122">
        <f>AA16</f>
        <v>246092</v>
      </c>
      <c r="AK16" s="121">
        <f>IF(AND(AJ16=0,AI16=0),0,IF(OR(AND(AJ16&gt;0,AI16&lt;=0),AND(AJ16&lt;0,AI16&gt;=0)),"nm",IF(AND(AJ16&lt;0,AI16&lt;0),IF(-(AJ16/AI16-1)*100&lt;-100,"(&gt;100)",-(AJ16/AI16-1)*100),IF((AJ16/AI16-1)*100&gt;100,"&gt;100",(AJ16/AI16-1)*100))))</f>
        <v>9.602682925743</v>
      </c>
    </row>
    <row r="17" spans="2:37" ht="14.25">
      <c r="B17" s="101" t="s">
        <v>10</v>
      </c>
      <c r="C17" s="20"/>
      <c r="D17" s="121">
        <v>175979</v>
      </c>
      <c r="E17" s="121">
        <f>M17</f>
        <v>171499</v>
      </c>
      <c r="F17" s="121">
        <f>AG17</f>
        <v>259484</v>
      </c>
      <c r="G17" s="121">
        <v>212172</v>
      </c>
      <c r="H17" s="121">
        <v>230480</v>
      </c>
      <c r="J17" s="121">
        <v>186825</v>
      </c>
      <c r="K17" s="121">
        <v>175417</v>
      </c>
      <c r="L17" s="121">
        <v>171588</v>
      </c>
      <c r="M17" s="121">
        <v>171499</v>
      </c>
      <c r="N17" s="121">
        <v>169200</v>
      </c>
      <c r="O17" s="121">
        <v>177393</v>
      </c>
      <c r="P17" s="121">
        <v>181425</v>
      </c>
      <c r="Q17" s="121">
        <v>184615</v>
      </c>
      <c r="R17" s="121">
        <v>188826</v>
      </c>
      <c r="S17" s="121">
        <v>201003</v>
      </c>
      <c r="T17" s="121">
        <v>211352</v>
      </c>
      <c r="U17" s="121">
        <v>216804</v>
      </c>
      <c r="V17" s="121">
        <v>226673</v>
      </c>
      <c r="W17" s="121">
        <v>229333</v>
      </c>
      <c r="X17" s="121">
        <v>241265</v>
      </c>
      <c r="Y17" s="121">
        <v>230480</v>
      </c>
      <c r="Z17" s="121">
        <v>244181</v>
      </c>
      <c r="AA17" s="121">
        <v>250894</v>
      </c>
      <c r="AB17" s="122">
        <f>AG17</f>
        <v>259484</v>
      </c>
      <c r="AC17" s="121">
        <f>IF(AND(AB17=0,AB17=0),0,IF(OR(AND(AB17&gt;0,AA17&lt;=0),AND(AB17&lt;0,AA17&gt;=0)),"nm",IF(AND(AB17&lt;0,AA17&lt;0),IF(-(AB17/AA17-1)*100&lt;-100,"(&gt;100)",-(AB17/AA17-1)*100),IF((AB17/AA17-1)*100&gt;100,"&gt;100",(AB17/AA17-1)*100))))</f>
        <v>3.423756646233067</v>
      </c>
      <c r="AD17" s="121">
        <f>IF(AND(AB17=0,X17=0),0,IF(OR(AND(AB17&gt;0,X17&lt;=0),AND(AB17&lt;0,X17&gt;=0)),"nm",IF(AND(AB17&lt;0,X17&lt;0),IF(-(AB17/X17-1)*100&lt;-100,"(&gt;100)",-(AB17/X17-1)*100),IF((AB17/X17-1)*100&gt;100,"&gt;100",(AB17/X17-1)*100))))</f>
        <v>7.5514475783889035</v>
      </c>
      <c r="AF17" s="121">
        <v>241265</v>
      </c>
      <c r="AG17" s="122">
        <v>259484</v>
      </c>
      <c r="AH17" s="121">
        <f>IF(AND(AG17=0,AF17=0),0,IF(OR(AND(AG17&gt;0,AF17&lt;=0),AND(AG17&lt;0,AF17&gt;=0)),"nm",IF(AND(AG17&lt;0,AF17&lt;0),IF(-(AG17/AF17-1)*100&lt;-100,"(&gt;100)",-(AG17/AF17-1)*100),IF((AG17/AF17-1)*100&gt;100,"&gt;100",(AG17/AF17-1)*100))))</f>
        <v>7.5514475783889035</v>
      </c>
      <c r="AI17" s="121">
        <f>W17</f>
        <v>229333</v>
      </c>
      <c r="AJ17" s="122">
        <f>AA17</f>
        <v>250894</v>
      </c>
      <c r="AK17" s="121">
        <f>IF(AND(AJ17=0,AI17=0),0,IF(OR(AND(AJ17&gt;0,AI17&lt;=0),AND(AJ17&lt;0,AI17&gt;=0)),"nm",IF(AND(AJ17&lt;0,AI17&lt;0),IF(-(AJ17/AI17-1)*100&lt;-100,"(&gt;100)",-(AJ17/AI17-1)*100),IF((AJ17/AI17-1)*100&gt;100,"&gt;100",(AJ17/AI17-1)*100))))</f>
        <v>9.401612502343749</v>
      </c>
    </row>
    <row r="18" spans="26:36" ht="14.25">
      <c r="Z18" s="355"/>
      <c r="AA18" s="355"/>
      <c r="AB18" s="489"/>
      <c r="AG18" s="352"/>
      <c r="AJ18" s="461"/>
    </row>
    <row r="19" spans="26:36" ht="14.25">
      <c r="Z19" s="355"/>
      <c r="AA19" s="355"/>
      <c r="AB19" s="352"/>
      <c r="AG19" s="352"/>
      <c r="AJ19" s="461"/>
    </row>
    <row r="20" spans="26:36" ht="14.25">
      <c r="Z20" s="355"/>
      <c r="AA20" s="355"/>
      <c r="AB20" s="352"/>
      <c r="AG20" s="352"/>
      <c r="AJ20" s="461"/>
    </row>
    <row r="21" spans="26:36" ht="14.25">
      <c r="Z21" s="355"/>
      <c r="AA21" s="355"/>
      <c r="AB21" s="352"/>
      <c r="AG21" s="352"/>
      <c r="AJ21" s="461"/>
    </row>
    <row r="22" spans="26:36" ht="14.25">
      <c r="Z22" s="355"/>
      <c r="AA22" s="355"/>
      <c r="AB22" s="352"/>
      <c r="AG22" s="352"/>
      <c r="AJ22" s="461"/>
    </row>
    <row r="23" spans="26:33" ht="14.25">
      <c r="Z23" s="355"/>
      <c r="AA23" s="355"/>
      <c r="AB23" s="352"/>
      <c r="AG23" s="352"/>
    </row>
    <row r="24" spans="26:28" ht="14.25">
      <c r="Z24" s="355"/>
      <c r="AA24" s="355"/>
      <c r="AB24" s="352"/>
    </row>
    <row r="25" spans="26:28" ht="14.25">
      <c r="Z25" s="355"/>
      <c r="AA25" s="355"/>
      <c r="AB25" s="352"/>
    </row>
    <row r="26" spans="26:28" ht="14.25">
      <c r="Z26" s="355"/>
      <c r="AA26" s="355"/>
      <c r="AB26" s="352"/>
    </row>
    <row r="27" spans="26:28" ht="14.25">
      <c r="Z27" s="355"/>
      <c r="AA27" s="355"/>
      <c r="AB27" s="352"/>
    </row>
    <row r="28" spans="26:28" ht="14.25">
      <c r="Z28" s="355"/>
      <c r="AA28" s="355"/>
      <c r="AB28" s="352"/>
    </row>
    <row r="29" spans="26:28" ht="14.25">
      <c r="Z29" s="355"/>
      <c r="AA29" s="355"/>
      <c r="AB29" s="352"/>
    </row>
    <row r="30" spans="26:28" ht="14.25">
      <c r="Z30" s="355"/>
      <c r="AA30" s="355"/>
      <c r="AB30" s="352"/>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paperSize="9" scale="77" r:id="rId1"/>
  <headerFooter alignWithMargins="0">
    <oddFooter>&amp;L&amp;8&amp;Z&amp;F&amp;A&amp;R&amp;8&amp;D&amp;T</oddFooter>
  </headerFooter>
  <ignoredErrors>
    <ignoredError sqref="AI6:AJ8 AI4 AI5 AJ4:AJ5 AI10:AJ20 AJ9" formulaRange="1"/>
  </ignoredErrors>
</worksheet>
</file>

<file path=xl/worksheets/sheet21.xml><?xml version="1.0" encoding="utf-8"?>
<worksheet xmlns="http://schemas.openxmlformats.org/spreadsheetml/2006/main" xmlns:r="http://schemas.openxmlformats.org/officeDocument/2006/relationships">
  <sheetPr>
    <tabColor indexed="18"/>
    <pageSetUpPr fitToPage="1"/>
  </sheetPr>
  <dimension ref="A1:AK26"/>
  <sheetViews>
    <sheetView zoomScale="80" zoomScaleNormal="80" zoomScalePageLayoutView="0" workbookViewId="0" topLeftCell="A1">
      <pane xSplit="3" ySplit="2" topLeftCell="D3" activePane="bottomRight" state="frozen"/>
      <selection pane="topLeft" activeCell="AA19" sqref="AA19"/>
      <selection pane="topRight" activeCell="AA19" sqref="AA19"/>
      <selection pane="bottomLeft" activeCell="AA19" sqref="AA19"/>
      <selection pane="bottomRight" activeCell="AF1" sqref="AF1:AF65536"/>
    </sheetView>
  </sheetViews>
  <sheetFormatPr defaultColWidth="9.140625" defaultRowHeight="12.75" outlineLevelCol="1"/>
  <cols>
    <col min="1" max="1" width="4.00390625" style="20" customWidth="1"/>
    <col min="2" max="2" width="4.28125" style="20" customWidth="1"/>
    <col min="3" max="3" width="32.140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7" width="8.57421875" style="121" bestFit="1" customWidth="1"/>
    <col min="28" max="28" width="8.57421875" style="122" bestFit="1" customWidth="1"/>
    <col min="29" max="29" width="8.00390625" style="121" bestFit="1" customWidth="1"/>
    <col min="30" max="30" width="7.8515625" style="121" bestFit="1" customWidth="1"/>
    <col min="31" max="31" width="5.00390625" style="121" customWidth="1"/>
    <col min="32" max="32" width="8.57421875" style="121" customWidth="1"/>
    <col min="33" max="33" width="8.57421875" style="122" customWidth="1"/>
    <col min="34" max="34" width="8.00390625" style="121" customWidth="1"/>
    <col min="35" max="35" width="8.57421875" style="121" hidden="1" customWidth="1"/>
    <col min="36" max="36" width="8.57421875" style="122" hidden="1" customWidth="1"/>
    <col min="37" max="37" width="8.00390625" style="121" hidden="1" customWidth="1"/>
    <col min="38" max="16384" width="9.140625" style="20" customWidth="1"/>
  </cols>
  <sheetData>
    <row r="1" spans="1:37" s="42" customFormat="1" ht="20.25">
      <c r="A1" s="41" t="s">
        <v>49</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+'19.S''pore'!AC2</f>
        <v>3Q13
vs 
2Q13</v>
      </c>
      <c r="AD2" s="285" t="str">
        <f>+'19.S''pore'!AD2</f>
        <v>3Q13
vs 
3Q12</v>
      </c>
      <c r="AF2" s="74" t="s">
        <v>442</v>
      </c>
      <c r="AG2" s="74" t="s">
        <v>443</v>
      </c>
      <c r="AH2" s="285" t="s">
        <v>444</v>
      </c>
      <c r="AI2" s="285" t="str">
        <f>+'19.S''pore'!AI2</f>
        <v>9M12</v>
      </c>
      <c r="AJ2" s="285" t="str">
        <f>+'19.S''pore'!AJ2</f>
        <v>9M13</v>
      </c>
      <c r="AK2" s="285" t="str">
        <f>+'19.S''pore'!AK2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
      <c r="AA3" s="17"/>
      <c r="AB3" s="498"/>
      <c r="AC3" s="17"/>
      <c r="AD3" s="17"/>
      <c r="AE3" s="32"/>
      <c r="AF3" s="17"/>
      <c r="AG3" s="498"/>
      <c r="AH3" s="17"/>
      <c r="AI3" s="17"/>
      <c r="AJ3" s="125"/>
      <c r="AK3" s="17"/>
    </row>
    <row r="4" spans="2:37" ht="14.25">
      <c r="B4" s="101" t="s">
        <v>5</v>
      </c>
      <c r="C4" s="20"/>
      <c r="D4" s="121">
        <v>873</v>
      </c>
      <c r="E4" s="121">
        <v>888</v>
      </c>
      <c r="F4" s="121">
        <v>783</v>
      </c>
      <c r="G4" s="121">
        <v>789</v>
      </c>
      <c r="H4" s="121">
        <v>886</v>
      </c>
      <c r="J4" s="121">
        <v>224</v>
      </c>
      <c r="K4" s="121">
        <v>222</v>
      </c>
      <c r="L4" s="121">
        <v>226</v>
      </c>
      <c r="M4" s="121">
        <v>216</v>
      </c>
      <c r="N4" s="121">
        <v>202</v>
      </c>
      <c r="O4" s="121">
        <v>198</v>
      </c>
      <c r="P4" s="121">
        <v>191</v>
      </c>
      <c r="Q4" s="121">
        <v>192</v>
      </c>
      <c r="R4" s="121">
        <v>190</v>
      </c>
      <c r="S4" s="121">
        <v>199</v>
      </c>
      <c r="T4" s="121">
        <v>189</v>
      </c>
      <c r="U4" s="121">
        <v>211</v>
      </c>
      <c r="V4" s="121">
        <v>209</v>
      </c>
      <c r="W4" s="121">
        <v>228</v>
      </c>
      <c r="X4" s="121">
        <v>228</v>
      </c>
      <c r="Y4" s="121">
        <v>221</v>
      </c>
      <c r="Z4" s="121">
        <v>231</v>
      </c>
      <c r="AA4" s="121">
        <v>250</v>
      </c>
      <c r="AB4" s="122">
        <f>AG4-Z4-AA4</f>
        <v>263</v>
      </c>
      <c r="AC4" s="121">
        <f aca="true" t="shared" si="0" ref="AC4:AC12">IF(AND(AB4=0,AB4=0),0,IF(OR(AND(AB4&gt;0,AA4&lt;=0),AND(AB4&lt;0,AA4&gt;=0)),"nm",IF(AND(AB4&lt;0,AA4&lt;0),IF(-(AB4/AA4-1)*100&lt;-100,"(&gt;100)",-(AB4/AA4-1)*100),IF((AB4/AA4-1)*100&gt;100,"&gt;100",(AB4/AA4-1)*100))))</f>
        <v>5.200000000000005</v>
      </c>
      <c r="AD4" s="121">
        <f aca="true" t="shared" si="1" ref="AD4:AD12">IF(AND(AB4=0,X4=0),0,IF(OR(AND(AB4&gt;0,X4&lt;=0),AND(AB4&lt;0,X4&gt;=0)),"nm",IF(AND(AB4&lt;0,X4&lt;0),IF(-(AB4/X4-1)*100&lt;-100,"(&gt;100)",-(AB4/X4-1)*100),IF((AB4/X4-1)*100&gt;100,"&gt;100",(AB4/X4-1)*100))))</f>
        <v>15.350877192982448</v>
      </c>
      <c r="AF4" s="121">
        <v>665</v>
      </c>
      <c r="AG4" s="122">
        <v>744</v>
      </c>
      <c r="AH4" s="121">
        <f aca="true" t="shared" si="2" ref="AH4:AH12">IF(AND(AG4=0,AF4=0),0,IF(OR(AND(AG4&gt;0,AF4&lt;=0),AND(AG4&lt;0,AF4&gt;=0)),"nm",IF(AND(AG4&lt;0,AF4&lt;0),IF(-(AG4/AF4-1)*100&lt;-100,"(&gt;100)",-(AG4/AF4-1)*100),IF((AG4/AF4-1)*100&gt;100,"&gt;100",(AG4/AF4-1)*100))))</f>
        <v>11.87969924812029</v>
      </c>
      <c r="AI4" s="121">
        <f>SUM(V4:W4)</f>
        <v>437</v>
      </c>
      <c r="AJ4" s="122">
        <f>SUM(Z4:AA4)</f>
        <v>481</v>
      </c>
      <c r="AK4" s="121">
        <f>IF(AND(AJ4=0,AI4=0),0,IF(OR(AND(AJ4&gt;0,AI4&lt;=0),AND(AJ4&lt;0,AI4&gt;=0)),"nm",IF(AND(AJ4&lt;0,AI4&lt;0),IF(-(AJ4/AI4-1)*100&lt;-100,"(&gt;100)",-(AJ4/AI4-1)*100),IF((AJ4/AI4-1)*100&gt;100,"&gt;100",(AJ4/AI4-1)*100))))</f>
        <v>10.068649885583515</v>
      </c>
    </row>
    <row r="5" spans="2:37" ht="14.25">
      <c r="B5" s="101" t="s">
        <v>25</v>
      </c>
      <c r="C5" s="20"/>
      <c r="D5" s="121">
        <v>538</v>
      </c>
      <c r="E5" s="121">
        <v>478</v>
      </c>
      <c r="F5" s="121">
        <v>682</v>
      </c>
      <c r="G5" s="121">
        <v>664</v>
      </c>
      <c r="H5" s="121">
        <v>646</v>
      </c>
      <c r="J5" s="121">
        <v>127</v>
      </c>
      <c r="K5" s="121">
        <v>120</v>
      </c>
      <c r="L5" s="121">
        <v>105</v>
      </c>
      <c r="M5" s="121">
        <v>126</v>
      </c>
      <c r="N5" s="121">
        <v>165</v>
      </c>
      <c r="O5" s="121">
        <v>165</v>
      </c>
      <c r="P5" s="121">
        <v>195</v>
      </c>
      <c r="Q5" s="121">
        <v>157</v>
      </c>
      <c r="R5" s="121">
        <v>200</v>
      </c>
      <c r="S5" s="121">
        <v>177</v>
      </c>
      <c r="T5" s="121">
        <v>136</v>
      </c>
      <c r="U5" s="121">
        <v>151</v>
      </c>
      <c r="V5" s="121">
        <v>176</v>
      </c>
      <c r="W5" s="121">
        <v>151</v>
      </c>
      <c r="X5" s="121">
        <v>145</v>
      </c>
      <c r="Y5" s="121">
        <v>174</v>
      </c>
      <c r="Z5" s="121">
        <v>243</v>
      </c>
      <c r="AA5" s="121">
        <v>274</v>
      </c>
      <c r="AB5" s="122">
        <f aca="true" t="shared" si="3" ref="AB5:AB12">AG5-Z5-AA5</f>
        <v>166</v>
      </c>
      <c r="AC5" s="121">
        <f t="shared" si="0"/>
        <v>-39.41605839416058</v>
      </c>
      <c r="AD5" s="121">
        <f t="shared" si="1"/>
        <v>14.482758620689662</v>
      </c>
      <c r="AF5" s="121">
        <v>472</v>
      </c>
      <c r="AG5" s="122">
        <v>683</v>
      </c>
      <c r="AH5" s="121">
        <f t="shared" si="2"/>
        <v>44.70338983050848</v>
      </c>
      <c r="AI5" s="121">
        <f aca="true" t="shared" si="4" ref="AI5:AI12">SUM(V5:W5)</f>
        <v>327</v>
      </c>
      <c r="AJ5" s="122">
        <f aca="true" t="shared" si="5" ref="AJ5:AJ11">SUM(Z5:AA5)</f>
        <v>517</v>
      </c>
      <c r="AK5" s="121">
        <f>IF(AND(AJ5=0,AI5=0),0,IF(OR(AND(AJ5&gt;0,AI5&lt;=0),AND(AJ5&lt;0,AI5&gt;=0)),"nm",IF(AND(AJ5&lt;0,AI5&lt;0),IF(-(AJ5/AI5-1)*100&lt;-100,"(&gt;100)",-(AJ5/AI5-1)*100),IF((AJ5/AI5-1)*100&gt;100,"&gt;100",(AJ5/AI5-1)*100))))</f>
        <v>58.103975535168196</v>
      </c>
    </row>
    <row r="6" spans="2:37" ht="14.25">
      <c r="B6" s="101" t="s">
        <v>6</v>
      </c>
      <c r="C6" s="20"/>
      <c r="D6" s="121">
        <v>1411</v>
      </c>
      <c r="E6" s="121">
        <v>1366</v>
      </c>
      <c r="F6" s="121">
        <v>1465</v>
      </c>
      <c r="G6" s="121">
        <v>1453</v>
      </c>
      <c r="H6" s="121">
        <v>1532</v>
      </c>
      <c r="J6" s="121">
        <v>351</v>
      </c>
      <c r="K6" s="121">
        <v>342</v>
      </c>
      <c r="L6" s="121">
        <v>331</v>
      </c>
      <c r="M6" s="121">
        <v>342</v>
      </c>
      <c r="N6" s="121">
        <v>367</v>
      </c>
      <c r="O6" s="121">
        <v>363</v>
      </c>
      <c r="P6" s="121">
        <v>386</v>
      </c>
      <c r="Q6" s="121">
        <v>349</v>
      </c>
      <c r="R6" s="121">
        <v>390</v>
      </c>
      <c r="S6" s="121">
        <v>376</v>
      </c>
      <c r="T6" s="121">
        <v>325</v>
      </c>
      <c r="U6" s="121">
        <v>362</v>
      </c>
      <c r="V6" s="121">
        <v>385</v>
      </c>
      <c r="W6" s="121">
        <v>379</v>
      </c>
      <c r="X6" s="121">
        <v>373</v>
      </c>
      <c r="Y6" s="121">
        <v>395</v>
      </c>
      <c r="Z6" s="121">
        <f>SUM(Z4:Z5)</f>
        <v>474</v>
      </c>
      <c r="AA6" s="121">
        <f>SUM(AA4:AA5)</f>
        <v>524</v>
      </c>
      <c r="AB6" s="122">
        <f t="shared" si="3"/>
        <v>429</v>
      </c>
      <c r="AC6" s="121">
        <f t="shared" si="0"/>
        <v>-18.12977099236641</v>
      </c>
      <c r="AD6" s="121">
        <f t="shared" si="1"/>
        <v>15.013404825737275</v>
      </c>
      <c r="AF6" s="121">
        <v>1137</v>
      </c>
      <c r="AG6" s="122">
        <v>1427</v>
      </c>
      <c r="AH6" s="121">
        <f t="shared" si="2"/>
        <v>25.505716798592793</v>
      </c>
      <c r="AI6" s="121">
        <f t="shared" si="4"/>
        <v>764</v>
      </c>
      <c r="AJ6" s="122">
        <f>SUM(Z6:AA6)</f>
        <v>998</v>
      </c>
      <c r="AK6" s="121">
        <f aca="true" t="shared" si="6" ref="AK6:AK12">IF(AND(AJ6=0,AI6=0),0,IF(OR(AND(AJ6&gt;0,AI6&lt;=0),AND(AJ6&lt;0,AI6&gt;=0)),"nm",IF(AND(AJ6&lt;0,AI6&lt;0),IF(-(AJ6/AI6-1)*100&lt;-100,"(&gt;100)",-(AJ6/AI6-1)*100),IF((AJ6/AI6-1)*100&gt;100,"&gt;100",(AJ6/AI6-1)*100))))</f>
        <v>30.628272251308907</v>
      </c>
    </row>
    <row r="7" spans="2:37" ht="14.25">
      <c r="B7" s="101" t="s">
        <v>0</v>
      </c>
      <c r="C7" s="20"/>
      <c r="D7" s="121">
        <v>723</v>
      </c>
      <c r="E7" s="121">
        <v>600</v>
      </c>
      <c r="F7" s="121">
        <v>720</v>
      </c>
      <c r="G7" s="121">
        <v>646</v>
      </c>
      <c r="H7" s="121">
        <v>678</v>
      </c>
      <c r="J7" s="121">
        <v>150</v>
      </c>
      <c r="K7" s="121">
        <v>151</v>
      </c>
      <c r="L7" s="121">
        <v>145</v>
      </c>
      <c r="M7" s="121">
        <v>154</v>
      </c>
      <c r="N7" s="121">
        <v>147</v>
      </c>
      <c r="O7" s="121">
        <v>249</v>
      </c>
      <c r="P7" s="121">
        <v>147</v>
      </c>
      <c r="Q7" s="121">
        <v>177</v>
      </c>
      <c r="R7" s="121">
        <v>155</v>
      </c>
      <c r="S7" s="121">
        <v>154</v>
      </c>
      <c r="T7" s="121">
        <v>153</v>
      </c>
      <c r="U7" s="121">
        <v>184</v>
      </c>
      <c r="V7" s="121">
        <v>155</v>
      </c>
      <c r="W7" s="121">
        <v>168</v>
      </c>
      <c r="X7" s="121">
        <v>168</v>
      </c>
      <c r="Y7" s="121">
        <v>187</v>
      </c>
      <c r="Z7" s="121">
        <v>168</v>
      </c>
      <c r="AA7" s="121">
        <v>186</v>
      </c>
      <c r="AB7" s="122">
        <f t="shared" si="3"/>
        <v>179</v>
      </c>
      <c r="AC7" s="121">
        <f t="shared" si="0"/>
        <v>-3.7634408602150504</v>
      </c>
      <c r="AD7" s="121">
        <f t="shared" si="1"/>
        <v>6.547619047619047</v>
      </c>
      <c r="AF7" s="121">
        <v>491</v>
      </c>
      <c r="AG7" s="122">
        <v>533</v>
      </c>
      <c r="AH7" s="121">
        <f t="shared" si="2"/>
        <v>8.553971486761714</v>
      </c>
      <c r="AI7" s="121">
        <f t="shared" si="4"/>
        <v>323</v>
      </c>
      <c r="AJ7" s="122">
        <f t="shared" si="5"/>
        <v>354</v>
      </c>
      <c r="AK7" s="121">
        <f t="shared" si="6"/>
        <v>9.597523219814242</v>
      </c>
    </row>
    <row r="8" spans="2:37" ht="14.25">
      <c r="B8" s="101" t="s">
        <v>8</v>
      </c>
      <c r="C8" s="20"/>
      <c r="D8" s="121">
        <v>233</v>
      </c>
      <c r="E8" s="121">
        <v>210</v>
      </c>
      <c r="F8" s="121">
        <v>73</v>
      </c>
      <c r="G8" s="121">
        <v>130</v>
      </c>
      <c r="H8" s="121">
        <v>11</v>
      </c>
      <c r="J8" s="121">
        <v>88</v>
      </c>
      <c r="K8" s="121">
        <v>71</v>
      </c>
      <c r="L8" s="121">
        <v>14</v>
      </c>
      <c r="M8" s="121">
        <v>37</v>
      </c>
      <c r="N8" s="121">
        <v>7</v>
      </c>
      <c r="O8" s="121">
        <v>32</v>
      </c>
      <c r="P8" s="121">
        <v>18</v>
      </c>
      <c r="Q8" s="121">
        <v>16</v>
      </c>
      <c r="R8" s="121">
        <v>9</v>
      </c>
      <c r="S8" s="121">
        <v>54</v>
      </c>
      <c r="T8" s="121">
        <v>43</v>
      </c>
      <c r="U8" s="121">
        <v>24</v>
      </c>
      <c r="V8" s="121">
        <v>2</v>
      </c>
      <c r="W8" s="121">
        <v>4</v>
      </c>
      <c r="X8" s="121">
        <v>-20</v>
      </c>
      <c r="Y8" s="121">
        <v>25</v>
      </c>
      <c r="Z8" s="121">
        <v>41</v>
      </c>
      <c r="AA8" s="121">
        <v>41</v>
      </c>
      <c r="AB8" s="122">
        <f t="shared" si="3"/>
        <v>61</v>
      </c>
      <c r="AC8" s="121">
        <f t="shared" si="0"/>
        <v>48.78048780487805</v>
      </c>
      <c r="AD8" s="121" t="str">
        <f t="shared" si="1"/>
        <v>nm</v>
      </c>
      <c r="AF8" s="121">
        <v>-14</v>
      </c>
      <c r="AG8" s="122">
        <v>143</v>
      </c>
      <c r="AH8" s="121" t="str">
        <f>IF(AND(AG8=0,AF8=0),0,IF(OR(AND(AG8&gt;0,AF8&lt;=0),AND(AG8&lt;0,AF8&gt;=0)),"nm",IF(AND(AG8&lt;0,AF8&lt;0),IF(-(AG8/AF8-1)*100&lt;-100,"(&gt;100)",-(AG8/AF8-1)*100),IF((AG8/AF8-1)*100&gt;100,"&gt;100",(AG8/AF8-1)*100))))</f>
        <v>nm</v>
      </c>
      <c r="AI8" s="121">
        <f t="shared" si="4"/>
        <v>6</v>
      </c>
      <c r="AJ8" s="122">
        <f t="shared" si="5"/>
        <v>82</v>
      </c>
      <c r="AK8" s="121" t="str">
        <f>IF(AND(AJ8=0,AI8=0),0,IF(OR(AND(AJ8&gt;0,AI8&lt;=0),AND(AJ8&lt;0,AI8&gt;=0)),"nm",IF(AND(AJ8&lt;0,AI8&lt;0),IF(-(AJ8/AI8-1)*100&lt;-100,"(&gt;100)",-(AJ8/AI8-1)*100),IF((AJ8/AI8-1)*100&gt;100,"&gt;100",(AJ8/AI8-1)*100))))</f>
        <v>&gt;100</v>
      </c>
    </row>
    <row r="9" spans="2:37"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f>AG9-R9-S9-T9</f>
        <v>0</v>
      </c>
      <c r="AA9" s="121">
        <f>AH9-S9-T9-U9</f>
        <v>0</v>
      </c>
      <c r="AB9" s="122">
        <f t="shared" si="3"/>
        <v>0</v>
      </c>
      <c r="AC9" s="121">
        <f t="shared" si="0"/>
        <v>0</v>
      </c>
      <c r="AD9" s="121">
        <f t="shared" si="1"/>
        <v>0</v>
      </c>
      <c r="AF9" s="121">
        <v>0</v>
      </c>
      <c r="AG9" s="122">
        <v>0</v>
      </c>
      <c r="AH9" s="121">
        <f t="shared" si="2"/>
        <v>0</v>
      </c>
      <c r="AI9" s="121">
        <f t="shared" si="4"/>
        <v>0</v>
      </c>
      <c r="AJ9" s="122">
        <f t="shared" si="5"/>
        <v>0</v>
      </c>
      <c r="AK9" s="121">
        <f t="shared" si="6"/>
        <v>0</v>
      </c>
    </row>
    <row r="10" spans="2:37" ht="14.25">
      <c r="B10" s="102" t="s">
        <v>9</v>
      </c>
      <c r="C10" s="20"/>
      <c r="D10" s="121">
        <v>455</v>
      </c>
      <c r="E10" s="121">
        <v>556</v>
      </c>
      <c r="F10" s="121">
        <v>672</v>
      </c>
      <c r="G10" s="121">
        <v>677</v>
      </c>
      <c r="H10" s="121">
        <v>843</v>
      </c>
      <c r="J10" s="121">
        <v>113</v>
      </c>
      <c r="K10" s="121">
        <v>120</v>
      </c>
      <c r="L10" s="121">
        <v>172</v>
      </c>
      <c r="M10" s="121">
        <v>151</v>
      </c>
      <c r="N10" s="121">
        <v>213</v>
      </c>
      <c r="O10" s="121">
        <v>82</v>
      </c>
      <c r="P10" s="121">
        <v>221</v>
      </c>
      <c r="Q10" s="121">
        <v>156</v>
      </c>
      <c r="R10" s="121">
        <v>226</v>
      </c>
      <c r="S10" s="121">
        <v>168</v>
      </c>
      <c r="T10" s="121">
        <v>129</v>
      </c>
      <c r="U10" s="121">
        <v>154</v>
      </c>
      <c r="V10" s="121">
        <v>228</v>
      </c>
      <c r="W10" s="121">
        <v>207</v>
      </c>
      <c r="X10" s="121">
        <v>225</v>
      </c>
      <c r="Y10" s="121">
        <v>183</v>
      </c>
      <c r="Z10" s="121">
        <v>265</v>
      </c>
      <c r="AA10" s="121">
        <v>297</v>
      </c>
      <c r="AB10" s="122">
        <f t="shared" si="3"/>
        <v>189</v>
      </c>
      <c r="AC10" s="121">
        <f t="shared" si="0"/>
        <v>-36.36363636363637</v>
      </c>
      <c r="AD10" s="121">
        <f t="shared" si="1"/>
        <v>-16.000000000000004</v>
      </c>
      <c r="AF10" s="121">
        <v>660</v>
      </c>
      <c r="AG10" s="122">
        <v>751</v>
      </c>
      <c r="AH10" s="121">
        <f>IF(AND(AG10=0,AF10=0),0,IF(OR(AND(AG10&gt;0,AF10&lt;=0),AND(AG10&lt;0,AF10&gt;=0)),"nm",IF(AND(AG10&lt;0,AF10&lt;0),IF(-(AG10/AF10-1)*100&lt;-100,"(&gt;100)",-(AG10/AF10-1)*100),IF((AG10/AF10-1)*100&gt;100,"&gt;100",(AG10/AF10-1)*100))))</f>
        <v>13.787878787878793</v>
      </c>
      <c r="AI10" s="121">
        <f t="shared" si="4"/>
        <v>435</v>
      </c>
      <c r="AJ10" s="122">
        <f t="shared" si="5"/>
        <v>562</v>
      </c>
      <c r="AK10" s="121">
        <f>IF(AND(AJ10=0,AI10=0),0,IF(OR(AND(AJ10&gt;0,AI10&lt;=0),AND(AJ10&lt;0,AI10&gt;=0)),"nm",IF(AND(AJ10&lt;0,AI10&lt;0),IF(-(AJ10/AI10-1)*100&lt;-100,"(&gt;100)",-(AJ10/AI10-1)*100),IF((AJ10/AI10-1)*100&gt;100,"&gt;100",(AJ10/AI10-1)*100))))</f>
        <v>29.19540229885058</v>
      </c>
    </row>
    <row r="11" spans="2:37" ht="14.25">
      <c r="B11" s="102" t="s">
        <v>68</v>
      </c>
      <c r="C11" s="20"/>
      <c r="D11" s="121">
        <v>65</v>
      </c>
      <c r="E11" s="121">
        <v>92</v>
      </c>
      <c r="F11" s="121">
        <v>93</v>
      </c>
      <c r="G11" s="121">
        <v>106</v>
      </c>
      <c r="H11" s="121">
        <v>127</v>
      </c>
      <c r="J11" s="121">
        <v>19</v>
      </c>
      <c r="K11" s="121">
        <v>21</v>
      </c>
      <c r="L11" s="121">
        <v>29</v>
      </c>
      <c r="M11" s="121">
        <v>23</v>
      </c>
      <c r="N11" s="121">
        <v>33</v>
      </c>
      <c r="O11" s="121">
        <v>17</v>
      </c>
      <c r="P11" s="121">
        <v>31</v>
      </c>
      <c r="Q11" s="121">
        <v>12</v>
      </c>
      <c r="R11" s="121">
        <v>36</v>
      </c>
      <c r="S11" s="121">
        <v>25</v>
      </c>
      <c r="T11" s="121">
        <v>21</v>
      </c>
      <c r="U11" s="121">
        <v>24</v>
      </c>
      <c r="V11" s="121">
        <v>38</v>
      </c>
      <c r="W11" s="121">
        <v>30</v>
      </c>
      <c r="X11" s="121">
        <v>38</v>
      </c>
      <c r="Y11" s="121">
        <v>21</v>
      </c>
      <c r="Z11" s="121">
        <v>43</v>
      </c>
      <c r="AA11" s="121">
        <v>43</v>
      </c>
      <c r="AB11" s="122">
        <f t="shared" si="3"/>
        <v>30</v>
      </c>
      <c r="AC11" s="121">
        <f t="shared" si="0"/>
        <v>-30.23255813953488</v>
      </c>
      <c r="AD11" s="121">
        <f t="shared" si="1"/>
        <v>-21.052631578947366</v>
      </c>
      <c r="AF11" s="121">
        <v>106</v>
      </c>
      <c r="AG11" s="122">
        <v>116</v>
      </c>
      <c r="AH11" s="121">
        <f t="shared" si="2"/>
        <v>9.433962264150942</v>
      </c>
      <c r="AI11" s="121">
        <f t="shared" si="4"/>
        <v>68</v>
      </c>
      <c r="AJ11" s="122">
        <f t="shared" si="5"/>
        <v>86</v>
      </c>
      <c r="AK11" s="121">
        <f t="shared" si="6"/>
        <v>26.470588235294112</v>
      </c>
    </row>
    <row r="12" spans="2:37" ht="14.25">
      <c r="B12" s="102" t="s">
        <v>53</v>
      </c>
      <c r="C12" s="20"/>
      <c r="D12" s="121">
        <v>390</v>
      </c>
      <c r="E12" s="121">
        <v>464</v>
      </c>
      <c r="F12" s="121">
        <v>579</v>
      </c>
      <c r="G12" s="121">
        <v>571</v>
      </c>
      <c r="H12" s="121">
        <v>716</v>
      </c>
      <c r="J12" s="121">
        <v>94</v>
      </c>
      <c r="K12" s="121">
        <v>99</v>
      </c>
      <c r="L12" s="121">
        <v>143</v>
      </c>
      <c r="M12" s="121">
        <v>128</v>
      </c>
      <c r="N12" s="121">
        <v>180</v>
      </c>
      <c r="O12" s="121">
        <v>65</v>
      </c>
      <c r="P12" s="121">
        <v>190</v>
      </c>
      <c r="Q12" s="121">
        <v>144</v>
      </c>
      <c r="R12" s="121">
        <v>190</v>
      </c>
      <c r="S12" s="121">
        <v>143</v>
      </c>
      <c r="T12" s="121">
        <v>108</v>
      </c>
      <c r="U12" s="121">
        <v>130</v>
      </c>
      <c r="V12" s="121">
        <v>190</v>
      </c>
      <c r="W12" s="121">
        <v>177</v>
      </c>
      <c r="X12" s="121">
        <v>187</v>
      </c>
      <c r="Y12" s="121">
        <v>162</v>
      </c>
      <c r="Z12" s="121">
        <v>222</v>
      </c>
      <c r="AA12" s="121">
        <v>254</v>
      </c>
      <c r="AB12" s="122">
        <f t="shared" si="3"/>
        <v>159</v>
      </c>
      <c r="AC12" s="121">
        <f t="shared" si="0"/>
        <v>-37.40157480314961</v>
      </c>
      <c r="AD12" s="121">
        <f t="shared" si="1"/>
        <v>-14.973262032085566</v>
      </c>
      <c r="AF12" s="121">
        <v>554</v>
      </c>
      <c r="AG12" s="122">
        <v>635</v>
      </c>
      <c r="AH12" s="121">
        <f t="shared" si="2"/>
        <v>14.620938628158854</v>
      </c>
      <c r="AI12" s="121">
        <f t="shared" si="4"/>
        <v>367</v>
      </c>
      <c r="AJ12" s="122">
        <f>SUM(Z12:AA12)</f>
        <v>476</v>
      </c>
      <c r="AK12" s="121">
        <f t="shared" si="6"/>
        <v>29.70027247956404</v>
      </c>
    </row>
    <row r="13" spans="3:33" ht="14.25">
      <c r="C13" s="20"/>
      <c r="D13" s="121"/>
      <c r="H13" s="165"/>
      <c r="Z13" s="436"/>
      <c r="AB13" s="489"/>
      <c r="AG13" s="489"/>
    </row>
    <row r="14" spans="1:37" s="24" customFormat="1" ht="14.25" customHeight="1">
      <c r="A14" s="88" t="s">
        <v>108</v>
      </c>
      <c r="B14" s="31"/>
      <c r="D14" s="17"/>
      <c r="E14" s="17"/>
      <c r="F14" s="17"/>
      <c r="G14" s="17"/>
      <c r="H14" s="17"/>
      <c r="I14" s="17"/>
      <c r="J14" s="17"/>
      <c r="K14" s="17"/>
      <c r="L14" s="17"/>
      <c r="M14" s="17"/>
      <c r="N14" s="17"/>
      <c r="O14" s="17"/>
      <c r="P14" s="17"/>
      <c r="Q14" s="17"/>
      <c r="R14" s="17"/>
      <c r="S14" s="17"/>
      <c r="T14" s="17"/>
      <c r="U14" s="17"/>
      <c r="V14" s="17"/>
      <c r="W14" s="17"/>
      <c r="X14" s="17"/>
      <c r="Y14" s="17"/>
      <c r="Z14" s="17"/>
      <c r="AA14" s="17"/>
      <c r="AB14" s="498"/>
      <c r="AC14" s="17"/>
      <c r="AD14" s="17"/>
      <c r="AE14" s="32"/>
      <c r="AF14" s="17"/>
      <c r="AG14" s="498"/>
      <c r="AH14" s="17"/>
      <c r="AI14" s="169"/>
      <c r="AJ14" s="144"/>
      <c r="AK14" s="17"/>
    </row>
    <row r="15" spans="2:37" ht="14.25">
      <c r="B15" s="101" t="s">
        <v>71</v>
      </c>
      <c r="C15" s="20"/>
      <c r="D15" s="121">
        <v>32085</v>
      </c>
      <c r="E15" s="121">
        <v>33431</v>
      </c>
      <c r="F15" s="121">
        <v>36224</v>
      </c>
      <c r="G15" s="121">
        <v>46848</v>
      </c>
      <c r="H15" s="75">
        <v>41124</v>
      </c>
      <c r="I15" s="75"/>
      <c r="J15" s="75">
        <v>32814</v>
      </c>
      <c r="K15" s="75">
        <v>31951</v>
      </c>
      <c r="L15" s="75">
        <v>31828</v>
      </c>
      <c r="M15" s="75">
        <v>33431</v>
      </c>
      <c r="N15" s="75">
        <v>34008</v>
      </c>
      <c r="O15" s="75">
        <v>38052</v>
      </c>
      <c r="P15" s="75">
        <v>37036</v>
      </c>
      <c r="Q15" s="75">
        <v>36224</v>
      </c>
      <c r="R15" s="75">
        <v>36177</v>
      </c>
      <c r="S15" s="75">
        <v>40095</v>
      </c>
      <c r="T15" s="75">
        <v>45376</v>
      </c>
      <c r="U15" s="75">
        <v>46848</v>
      </c>
      <c r="V15" s="75">
        <v>44888</v>
      </c>
      <c r="W15" s="75">
        <v>44529</v>
      </c>
      <c r="X15" s="75">
        <v>39611</v>
      </c>
      <c r="Y15" s="75">
        <v>41124</v>
      </c>
      <c r="Z15" s="75">
        <v>44322</v>
      </c>
      <c r="AA15" s="121">
        <v>48283</v>
      </c>
      <c r="AB15" s="122">
        <f>AG15</f>
        <v>52974</v>
      </c>
      <c r="AC15" s="121">
        <f>IF(AND(AB15=0,AB15=0),0,IF(OR(AND(AB15&gt;0,AA15&lt;=0),AND(AB15&lt;0,AA15&gt;=0)),"nm",IF(AND(AB15&lt;0,AA15&lt;0),IF(-(AB15/AA15-1)*100&lt;-100,"(&gt;100)",-(AB15/AA15-1)*100),IF((AB15/AA15-1)*100&gt;100,"&gt;100",(AB15/AA15-1)*100))))</f>
        <v>9.715634902553694</v>
      </c>
      <c r="AD15" s="121">
        <f>IF(AND(AB15=0,X15=0),0,IF(OR(AND(AB15&gt;0,X15&lt;=0),AND(AB15&lt;0,X15&gt;=0)),"nm",IF(AND(AB15&lt;0,X15&lt;0),IF(-(AB15/X15-1)*100&lt;-100,"(&gt;100)",-(AB15/X15-1)*100),IF((AB15/X15-1)*100&gt;100,"&gt;100",(AB15/X15-1)*100))))</f>
        <v>33.73557850092146</v>
      </c>
      <c r="AE15" s="75"/>
      <c r="AF15" s="75">
        <v>39611</v>
      </c>
      <c r="AG15" s="122">
        <v>52974</v>
      </c>
      <c r="AH15" s="121">
        <f>IF(AND(AG15=0,AF15=0),0,IF(OR(AND(AG15&gt;0,AF15&lt;=0),AND(AG15&lt;0,AF15&gt;=0)),"nm",IF(AND(AG15&lt;0,AF15&lt;0),IF(-(AG15/AF15-1)*100&lt;-100,"(&gt;100)",-(AG15/AF15-1)*100),IF((AG15/AF15-1)*100&gt;100,"&gt;100",(AG15/AF15-1)*100))))</f>
        <v>33.73557850092146</v>
      </c>
      <c r="AI15" s="121">
        <f>W15</f>
        <v>44529</v>
      </c>
      <c r="AJ15" s="122">
        <f>AA15</f>
        <v>48283</v>
      </c>
      <c r="AK15" s="121">
        <f>IF(AND(AJ15=0,AI15=0),0,IF(OR(AND(AJ15&gt;0,AI15&lt;=0),AND(AJ15&lt;0,AI15&gt;=0)),"nm",IF(AND(AJ15&lt;0,AI15&lt;0),IF(-(AJ15/AI15-1)*100&lt;-100,"(&gt;100)",-(AJ15/AI15-1)*100),IF((AJ15/AI15-1)*100&gt;100,"&gt;100",(AJ15/AI15-1)*100))))</f>
        <v>8.430461047856452</v>
      </c>
    </row>
    <row r="16" spans="2:37" ht="14.25">
      <c r="B16" s="101" t="s">
        <v>72</v>
      </c>
      <c r="C16" s="20"/>
      <c r="D16" s="121">
        <v>44119</v>
      </c>
      <c r="E16" s="121">
        <v>47653</v>
      </c>
      <c r="F16" s="121">
        <v>52489</v>
      </c>
      <c r="G16" s="121">
        <v>68501</v>
      </c>
      <c r="H16" s="121">
        <v>56577</v>
      </c>
      <c r="J16" s="121">
        <v>46173</v>
      </c>
      <c r="K16" s="121">
        <v>46754</v>
      </c>
      <c r="L16" s="121">
        <v>47342</v>
      </c>
      <c r="M16" s="121">
        <v>47653</v>
      </c>
      <c r="N16" s="121">
        <v>49718</v>
      </c>
      <c r="O16" s="121">
        <v>54420</v>
      </c>
      <c r="P16" s="121">
        <v>53149</v>
      </c>
      <c r="Q16" s="121">
        <v>52489</v>
      </c>
      <c r="R16" s="121">
        <v>53940</v>
      </c>
      <c r="S16" s="121">
        <v>55118</v>
      </c>
      <c r="T16" s="121">
        <v>67149</v>
      </c>
      <c r="U16" s="121">
        <v>63869</v>
      </c>
      <c r="V16" s="121">
        <v>60250</v>
      </c>
      <c r="W16" s="121">
        <v>60174</v>
      </c>
      <c r="X16" s="121">
        <v>56899</v>
      </c>
      <c r="Y16" s="121">
        <v>56577</v>
      </c>
      <c r="Z16" s="121">
        <v>59863</v>
      </c>
      <c r="AA16" s="121">
        <v>63587</v>
      </c>
      <c r="AB16" s="122">
        <f>AG16</f>
        <v>69992</v>
      </c>
      <c r="AC16" s="121">
        <f>IF(AND(AB16=0,AB16=0),0,IF(OR(AND(AB16&gt;0,AA16&lt;=0),AND(AB16&lt;0,AA16&gt;=0)),"nm",IF(AND(AB16&lt;0,AA16&lt;0),IF(-(AB16/AA16-1)*100&lt;-100,"(&gt;100)",-(AB16/AA16-1)*100),IF((AB16/AA16-1)*100&gt;100,"&gt;100",(AB16/AA16-1)*100))))</f>
        <v>10.07281362542658</v>
      </c>
      <c r="AD16" s="121">
        <f>IF(AND(AB16=0,X16=0),0,IF(OR(AND(AB16&gt;0,X16&lt;=0),AND(AB16&lt;0,X16&gt;=0)),"nm",IF(AND(AB16&lt;0,X16&lt;0),IF(-(AB16/X16-1)*100&lt;-100,"(&gt;100)",-(AB16/X16-1)*100),IF((AB16/X16-1)*100&gt;100,"&gt;100",(AB16/X16-1)*100))))</f>
        <v>23.010949225821186</v>
      </c>
      <c r="AF16" s="121">
        <v>56899</v>
      </c>
      <c r="AG16" s="122">
        <v>69992</v>
      </c>
      <c r="AH16" s="121">
        <f>IF(AND(AG16=0,AF16=0),0,IF(OR(AND(AG16&gt;0,AF16&lt;=0),AND(AG16&lt;0,AF16&gt;=0)),"nm",IF(AND(AG16&lt;0,AF16&lt;0),IF(-(AG16/AF16-1)*100&lt;-100,"(&gt;100)",-(AG16/AF16-1)*100),IF((AG16/AF16-1)*100&gt;100,"&gt;100",(AG16/AF16-1)*100))))</f>
        <v>23.010949225821186</v>
      </c>
      <c r="AI16" s="121">
        <f>W16</f>
        <v>60174</v>
      </c>
      <c r="AJ16" s="122">
        <f>AA16</f>
        <v>63587</v>
      </c>
      <c r="AK16" s="121">
        <f>IF(AND(AJ16=0,AI16=0),0,IF(OR(AND(AJ16&gt;0,AI16&lt;=0),AND(AJ16&lt;0,AI16&gt;=0)),"nm",IF(AND(AJ16&lt;0,AI16&lt;0),IF(-(AJ16/AI16-1)*100&lt;-100,"(&gt;100)",-(AJ16/AI16-1)*100),IF((AJ16/AI16-1)*100&gt;100,"&gt;100",(AJ16/AI16-1)*100))))</f>
        <v>5.671884867218391</v>
      </c>
    </row>
    <row r="17" spans="2:37" ht="14.25">
      <c r="B17" s="101" t="s">
        <v>10</v>
      </c>
      <c r="C17" s="20"/>
      <c r="D17" s="121">
        <v>44119</v>
      </c>
      <c r="E17" s="121">
        <v>47653</v>
      </c>
      <c r="F17" s="121">
        <v>52489</v>
      </c>
      <c r="G17" s="121">
        <v>68501</v>
      </c>
      <c r="H17" s="121">
        <v>56577</v>
      </c>
      <c r="J17" s="121">
        <v>46173</v>
      </c>
      <c r="K17" s="121">
        <v>46754</v>
      </c>
      <c r="L17" s="121">
        <v>47342</v>
      </c>
      <c r="M17" s="121">
        <v>47653</v>
      </c>
      <c r="N17" s="121">
        <v>49718</v>
      </c>
      <c r="O17" s="121">
        <v>54420</v>
      </c>
      <c r="P17" s="121">
        <v>53149</v>
      </c>
      <c r="Q17" s="121">
        <v>52489</v>
      </c>
      <c r="R17" s="121">
        <f>R16</f>
        <v>53940</v>
      </c>
      <c r="S17" s="121">
        <f>S16</f>
        <v>55118</v>
      </c>
      <c r="T17" s="121">
        <f>T16</f>
        <v>67149</v>
      </c>
      <c r="U17" s="121">
        <f>U16</f>
        <v>63869</v>
      </c>
      <c r="V17" s="121">
        <v>60250</v>
      </c>
      <c r="W17" s="121">
        <v>60174</v>
      </c>
      <c r="X17" s="121">
        <v>56899</v>
      </c>
      <c r="Y17" s="121">
        <v>56577</v>
      </c>
      <c r="Z17" s="121">
        <v>59863</v>
      </c>
      <c r="AA17" s="121">
        <v>63587</v>
      </c>
      <c r="AB17" s="122">
        <f>AG17</f>
        <v>69992</v>
      </c>
      <c r="AC17" s="121">
        <f>IF(AND(AB17=0,AB17=0),0,IF(OR(AND(AB17&gt;0,AA17&lt;=0),AND(AB17&lt;0,AA17&gt;=0)),"nm",IF(AND(AB17&lt;0,AA17&lt;0),IF(-(AB17/AA17-1)*100&lt;-100,"(&gt;100)",-(AB17/AA17-1)*100),IF((AB17/AA17-1)*100&gt;100,"&gt;100",(AB17/AA17-1)*100))))</f>
        <v>10.07281362542658</v>
      </c>
      <c r="AD17" s="121">
        <f>IF(AND(AB17=0,X17=0),0,IF(OR(AND(AB17&gt;0,X17&lt;=0),AND(AB17&lt;0,X17&gt;=0)),"nm",IF(AND(AB17&lt;0,X17&lt;0),IF(-(AB17/X17-1)*100&lt;-100,"(&gt;100)",-(AB17/X17-1)*100),IF((AB17/X17-1)*100&gt;100,"&gt;100",(AB17/X17-1)*100))))</f>
        <v>23.010949225821186</v>
      </c>
      <c r="AF17" s="121">
        <v>56899</v>
      </c>
      <c r="AG17" s="122">
        <v>69992</v>
      </c>
      <c r="AH17" s="121">
        <f>IF(AND(AG17=0,AF17=0),0,IF(OR(AND(AG17&gt;0,AF17&lt;=0),AND(AG17&lt;0,AF17&gt;=0)),"nm",IF(AND(AG17&lt;0,AF17&lt;0),IF(-(AG17/AF17-1)*100&lt;-100,"(&gt;100)",-(AG17/AF17-1)*100),IF((AG17/AF17-1)*100&gt;100,"&gt;100",(AG17/AF17-1)*100))))</f>
        <v>23.010949225821186</v>
      </c>
      <c r="AI17" s="121">
        <f>W17</f>
        <v>60174</v>
      </c>
      <c r="AJ17" s="122">
        <f>AA17</f>
        <v>63587</v>
      </c>
      <c r="AK17" s="121">
        <f>IF(AND(AJ17=0,AI17=0),0,IF(OR(AND(AJ17&gt;0,AI17&lt;=0),AND(AJ17&lt;0,AI17&gt;=0)),"nm",IF(AND(AJ17&lt;0,AI17&lt;0),IF(-(AJ17/AI17-1)*100&lt;-100,"(&gt;100)",-(AJ17/AI17-1)*100),IF((AJ17/AI17-1)*100&gt;100,"&gt;100",(AJ17/AI17-1)*100))))</f>
        <v>5.671884867218391</v>
      </c>
    </row>
    <row r="18" spans="3:36" ht="14.25">
      <c r="C18" s="20"/>
      <c r="D18" s="121"/>
      <c r="H18" s="171"/>
      <c r="Z18" s="355"/>
      <c r="AA18" s="171"/>
      <c r="AB18" s="489"/>
      <c r="AF18" s="165"/>
      <c r="AG18" s="489"/>
      <c r="AI18" s="165"/>
      <c r="AJ18" s="461"/>
    </row>
    <row r="19" spans="26:36" ht="14.25">
      <c r="Z19" s="355"/>
      <c r="AA19" s="355"/>
      <c r="AB19" s="489"/>
      <c r="AG19" s="489"/>
      <c r="AJ19" s="461"/>
    </row>
    <row r="20" spans="26:33" ht="14.25">
      <c r="Z20" s="355"/>
      <c r="AA20" s="355"/>
      <c r="AB20" s="489"/>
      <c r="AG20" s="352"/>
    </row>
    <row r="21" spans="26:33" ht="14.25">
      <c r="Z21" s="355"/>
      <c r="AA21" s="355"/>
      <c r="AB21" s="352"/>
      <c r="AG21" s="352"/>
    </row>
    <row r="22" spans="26:28" ht="14.25">
      <c r="Z22" s="355"/>
      <c r="AA22" s="355"/>
      <c r="AB22" s="352"/>
    </row>
    <row r="23" spans="26:28" ht="14.25">
      <c r="Z23" s="355"/>
      <c r="AA23" s="355"/>
      <c r="AB23" s="352"/>
    </row>
    <row r="24" spans="26:28" ht="14.25">
      <c r="Z24" s="355"/>
      <c r="AA24" s="355"/>
      <c r="AB24" s="352"/>
    </row>
    <row r="25" spans="26:28" ht="14.25">
      <c r="Z25" s="355"/>
      <c r="AA25" s="355"/>
      <c r="AB25" s="352"/>
    </row>
    <row r="26" spans="26:28" ht="14.25">
      <c r="Z26" s="355"/>
      <c r="AA26" s="355"/>
      <c r="AB26" s="352"/>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scale="85" r:id="rId1"/>
  <headerFooter alignWithMargins="0">
    <oddFooter>&amp;L&amp;Z&amp;F&amp;A&amp;R&amp;D&amp;T</oddFooter>
  </headerFooter>
  <ignoredErrors>
    <ignoredError sqref="AI4:AI5 AI7:AI11 AI6 AK6:AL6 AI13:AL23 AI12 AK12:AL12 AL4 AK7:AL11 AJ7:AJ11 AJ4:AJ5 AJ6 AJ12 AL5" formulaRange="1"/>
  </ignoredErrors>
</worksheet>
</file>

<file path=xl/worksheets/sheet22.xml><?xml version="1.0" encoding="utf-8"?>
<worksheet xmlns="http://schemas.openxmlformats.org/spreadsheetml/2006/main" xmlns:r="http://schemas.openxmlformats.org/officeDocument/2006/relationships">
  <sheetPr>
    <tabColor indexed="18"/>
    <pageSetUpPr fitToPage="1"/>
  </sheetPr>
  <dimension ref="A1:AK25"/>
  <sheetViews>
    <sheetView zoomScale="80" zoomScaleNormal="80" zoomScalePageLayoutView="0" workbookViewId="0" topLeftCell="A1">
      <pane xSplit="3" ySplit="2" topLeftCell="V3" activePane="bottomRight" state="frozen"/>
      <selection pane="topLeft" activeCell="AA19" sqref="AA19"/>
      <selection pane="topRight" activeCell="AA19" sqref="AA19"/>
      <selection pane="bottomLeft" activeCell="AA19" sqref="AA19"/>
      <selection pane="bottomRight" activeCell="AF1" sqref="AF1:AF65536"/>
    </sheetView>
  </sheetViews>
  <sheetFormatPr defaultColWidth="9.140625" defaultRowHeight="12.75" outlineLevelCol="1"/>
  <cols>
    <col min="1" max="1" width="4.00390625" style="20" customWidth="1"/>
    <col min="2" max="2" width="4.28125" style="20" customWidth="1"/>
    <col min="3" max="3" width="32.8515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7" width="8.57421875" style="121" bestFit="1" customWidth="1"/>
    <col min="28" max="28" width="8.57421875" style="122" bestFit="1" customWidth="1"/>
    <col min="29" max="29" width="6.57421875" style="121" bestFit="1" customWidth="1"/>
    <col min="30" max="30" width="7.7109375" style="121" bestFit="1" customWidth="1"/>
    <col min="31" max="31" width="4.140625" style="121" customWidth="1"/>
    <col min="32" max="32" width="8.57421875" style="121" customWidth="1"/>
    <col min="33" max="33" width="8.57421875" style="122" customWidth="1"/>
    <col min="34" max="34" width="6.57421875" style="121" customWidth="1"/>
    <col min="35" max="35" width="8.57421875" style="121" hidden="1" customWidth="1"/>
    <col min="36" max="36" width="8.57421875" style="122" hidden="1" customWidth="1"/>
    <col min="37" max="37" width="6.57421875" style="121" hidden="1" customWidth="1"/>
    <col min="38" max="16384" width="9.140625" style="20" customWidth="1"/>
  </cols>
  <sheetData>
    <row r="1" spans="1:37" s="42" customFormat="1" ht="20.25">
      <c r="A1" s="41" t="s">
        <v>73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+'20.HK'!AC2</f>
        <v>3Q13
vs 
2Q13</v>
      </c>
      <c r="AD2" s="285" t="str">
        <f>+'20.HK'!AD2</f>
        <v>3Q13
vs 
3Q12</v>
      </c>
      <c r="AF2" s="74" t="s">
        <v>442</v>
      </c>
      <c r="AG2" s="74" t="s">
        <v>443</v>
      </c>
      <c r="AH2" s="285" t="s">
        <v>444</v>
      </c>
      <c r="AI2" s="285" t="str">
        <f>+'20.HK'!AI2</f>
        <v>9M12</v>
      </c>
      <c r="AJ2" s="285" t="str">
        <f>+'20.HK'!AJ2</f>
        <v>9M13</v>
      </c>
      <c r="AK2" s="285" t="str">
        <f>+'20.HK'!AK2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7"/>
      <c r="AA3" s="17"/>
      <c r="AB3" s="498"/>
      <c r="AC3" s="17"/>
      <c r="AD3" s="17"/>
      <c r="AE3" s="17"/>
      <c r="AF3" s="17"/>
      <c r="AG3" s="353"/>
      <c r="AH3" s="17"/>
      <c r="AI3" s="17"/>
      <c r="AJ3" s="462"/>
      <c r="AK3" s="17"/>
    </row>
    <row r="4" spans="2:37" ht="14.25">
      <c r="B4" s="101" t="s">
        <v>5</v>
      </c>
      <c r="C4" s="20"/>
      <c r="D4" s="121">
        <v>264</v>
      </c>
      <c r="E4" s="121">
        <v>302</v>
      </c>
      <c r="F4" s="121">
        <v>327</v>
      </c>
      <c r="G4" s="121">
        <v>550</v>
      </c>
      <c r="H4" s="121">
        <v>510</v>
      </c>
      <c r="J4" s="121">
        <v>80</v>
      </c>
      <c r="K4" s="121">
        <v>74</v>
      </c>
      <c r="L4" s="121">
        <v>73</v>
      </c>
      <c r="M4" s="121">
        <v>75</v>
      </c>
      <c r="N4" s="121">
        <v>76</v>
      </c>
      <c r="O4" s="121">
        <v>79</v>
      </c>
      <c r="P4" s="121">
        <v>84</v>
      </c>
      <c r="Q4" s="121">
        <v>88</v>
      </c>
      <c r="R4" s="121">
        <v>104</v>
      </c>
      <c r="S4" s="121">
        <v>124</v>
      </c>
      <c r="T4" s="121">
        <v>158</v>
      </c>
      <c r="U4" s="121">
        <v>164</v>
      </c>
      <c r="V4" s="121">
        <v>159</v>
      </c>
      <c r="W4" s="121">
        <v>142</v>
      </c>
      <c r="X4" s="121">
        <v>110</v>
      </c>
      <c r="Y4" s="121">
        <v>99</v>
      </c>
      <c r="Z4" s="121">
        <v>101</v>
      </c>
      <c r="AA4" s="121">
        <v>104</v>
      </c>
      <c r="AB4" s="122">
        <f>AG4-Z4-AA4</f>
        <v>119</v>
      </c>
      <c r="AC4" s="121">
        <f aca="true" t="shared" si="0" ref="AC4:AC12">IF(AND(AB4=0,AB4=0),0,IF(OR(AND(AB4&gt;0,AA4&lt;=0),AND(AB4&lt;0,AA4&gt;=0)),"nm",IF(AND(AB4&lt;0,AA4&lt;0),IF(-(AB4/AA4-1)*100&lt;-100,"(&gt;100)",-(AB4/AA4-1)*100),IF((AB4/AA4-1)*100&gt;100,"&gt;100",(AB4/AA4-1)*100))))</f>
        <v>14.423076923076916</v>
      </c>
      <c r="AD4" s="121">
        <f aca="true" t="shared" si="1" ref="AD4:AD12">IF(AND(AB4=0,X4=0),0,IF(OR(AND(AB4&gt;0,X4&lt;=0),AND(AB4&lt;0,X4&gt;=0)),"nm",IF(AND(AB4&lt;0,X4&lt;0),IF(-(AB4/X4-1)*100&lt;-100,"(&gt;100)",-(AB4/X4-1)*100),IF((AB4/X4-1)*100&gt;100,"&gt;100",(AB4/X4-1)*100))))</f>
        <v>8.18181818181818</v>
      </c>
      <c r="AF4" s="121">
        <v>411</v>
      </c>
      <c r="AG4" s="122">
        <v>324</v>
      </c>
      <c r="AH4" s="121">
        <f>IF(AND(AG4=0,AF4=0),0,IF(OR(AND(AG4&gt;0,AF4&lt;=0),AND(AG4&lt;0,AF4&gt;=0)),"nm",IF(AND(AG4&lt;0,AF4&lt;0),IF(-(AG4/AF4-1)*100&lt;-100,"(&gt;100)",-(AG4/AF4-1)*100),IF((AG4/AF4-1)*100&gt;100,"&gt;100",(AG4/AF4-1)*100))))</f>
        <v>-21.167883211678827</v>
      </c>
      <c r="AI4" s="121">
        <f>SUM(V4:W4)</f>
        <v>301</v>
      </c>
      <c r="AJ4" s="122">
        <f>SUM(Z4:AA4)</f>
        <v>205</v>
      </c>
      <c r="AK4" s="121">
        <f>IF(AND(AJ4=0,AI4=0),0,IF(OR(AND(AJ4&gt;0,AI4&lt;=0),AND(AJ4&lt;0,AI4&gt;=0)),"nm",IF(AND(AJ4&lt;0,AI4&lt;0),IF(-(AJ4/AI4-1)*100&lt;-100,"(&gt;100)",-(AJ4/AI4-1)*100),IF((AJ4/AI4-1)*100&gt;100,"&gt;100",(AJ4/AI4-1)*100))))</f>
        <v>-31.893687707641195</v>
      </c>
    </row>
    <row r="5" spans="2:37" ht="14.25">
      <c r="B5" s="101" t="s">
        <v>25</v>
      </c>
      <c r="C5" s="20"/>
      <c r="D5" s="121">
        <v>115</v>
      </c>
      <c r="E5" s="121">
        <v>107</v>
      </c>
      <c r="F5" s="121">
        <v>99</v>
      </c>
      <c r="G5" s="121">
        <v>62</v>
      </c>
      <c r="H5" s="121">
        <v>153</v>
      </c>
      <c r="J5" s="121">
        <v>37</v>
      </c>
      <c r="K5" s="121">
        <v>29</v>
      </c>
      <c r="L5" s="121">
        <v>28</v>
      </c>
      <c r="M5" s="121">
        <v>13</v>
      </c>
      <c r="N5" s="121">
        <v>31</v>
      </c>
      <c r="O5" s="121">
        <v>25</v>
      </c>
      <c r="P5" s="121">
        <v>39</v>
      </c>
      <c r="Q5" s="121">
        <v>4</v>
      </c>
      <c r="R5" s="121">
        <v>37</v>
      </c>
      <c r="S5" s="121">
        <v>25</v>
      </c>
      <c r="T5" s="121">
        <v>3</v>
      </c>
      <c r="U5" s="121">
        <v>-3</v>
      </c>
      <c r="V5" s="121">
        <v>22</v>
      </c>
      <c r="W5" s="121">
        <v>61</v>
      </c>
      <c r="X5" s="121">
        <v>32</v>
      </c>
      <c r="Y5" s="121">
        <v>38</v>
      </c>
      <c r="Z5" s="121">
        <v>69</v>
      </c>
      <c r="AA5" s="121">
        <v>80</v>
      </c>
      <c r="AB5" s="122">
        <f aca="true" t="shared" si="2" ref="AB5:AB12">AG5-Z5-AA5</f>
        <v>76</v>
      </c>
      <c r="AC5" s="121">
        <f t="shared" si="0"/>
        <v>-5.000000000000004</v>
      </c>
      <c r="AD5" s="121" t="str">
        <f t="shared" si="1"/>
        <v>&gt;100</v>
      </c>
      <c r="AF5" s="121">
        <v>115</v>
      </c>
      <c r="AG5" s="122">
        <v>225</v>
      </c>
      <c r="AH5" s="121">
        <f>IF(AND(AG5=0,AF5=0),0,IF(OR(AND(AG5&gt;0,AF5&lt;=0),AND(AG5&lt;0,AF5&gt;=0)),"nm",IF(AND(AG5&lt;0,AF5&lt;0),IF(-(AG5/AF5-1)*100&lt;-100,"(&gt;100)",-(AG5/AF5-1)*100),IF((AG5/AF5-1)*100&gt;100,"&gt;100",(AG5/AF5-1)*100))))</f>
        <v>95.65217391304348</v>
      </c>
      <c r="AI5" s="121">
        <f aca="true" t="shared" si="3" ref="AI5:AI12">SUM(V5:W5)</f>
        <v>83</v>
      </c>
      <c r="AJ5" s="122">
        <f aca="true" t="shared" si="4" ref="AJ5:AJ11">SUM(Z5:AA5)</f>
        <v>149</v>
      </c>
      <c r="AK5" s="121">
        <f>IF(AND(AJ5=0,AI5=0),0,IF(OR(AND(AJ5&gt;0,AI5&lt;=0),AND(AJ5&lt;0,AI5&gt;=0)),"nm",IF(AND(AJ5&lt;0,AI5&lt;0),IF(-(AJ5/AI5-1)*100&lt;-100,"(&gt;100)",-(AJ5/AI5-1)*100),IF((AJ5/AI5-1)*100&gt;100,"&gt;100",(AJ5/AI5-1)*100))))</f>
        <v>79.51807228915662</v>
      </c>
    </row>
    <row r="6" spans="2:37" ht="14.25">
      <c r="B6" s="101" t="s">
        <v>6</v>
      </c>
      <c r="C6" s="20"/>
      <c r="D6" s="121">
        <v>379</v>
      </c>
      <c r="E6" s="121">
        <v>409</v>
      </c>
      <c r="F6" s="121">
        <v>426</v>
      </c>
      <c r="G6" s="121">
        <v>612</v>
      </c>
      <c r="H6" s="121">
        <v>663</v>
      </c>
      <c r="J6" s="121">
        <v>117</v>
      </c>
      <c r="K6" s="121">
        <v>103</v>
      </c>
      <c r="L6" s="121">
        <v>101</v>
      </c>
      <c r="M6" s="121">
        <v>88</v>
      </c>
      <c r="N6" s="121">
        <v>107</v>
      </c>
      <c r="O6" s="121">
        <v>104</v>
      </c>
      <c r="P6" s="121">
        <v>123</v>
      </c>
      <c r="Q6" s="121">
        <v>92</v>
      </c>
      <c r="R6" s="121">
        <v>141</v>
      </c>
      <c r="S6" s="121">
        <v>149</v>
      </c>
      <c r="T6" s="121">
        <v>161</v>
      </c>
      <c r="U6" s="121">
        <v>161</v>
      </c>
      <c r="V6" s="121">
        <v>181</v>
      </c>
      <c r="W6" s="121">
        <v>203</v>
      </c>
      <c r="X6" s="121">
        <v>142</v>
      </c>
      <c r="Y6" s="121">
        <v>137</v>
      </c>
      <c r="Z6" s="121">
        <f>SUM(Z4:Z5)</f>
        <v>170</v>
      </c>
      <c r="AA6" s="121">
        <f>SUM(AA4:AA5)</f>
        <v>184</v>
      </c>
      <c r="AB6" s="122">
        <f t="shared" si="2"/>
        <v>195</v>
      </c>
      <c r="AC6" s="121">
        <f t="shared" si="0"/>
        <v>5.978260869565211</v>
      </c>
      <c r="AD6" s="121">
        <f t="shared" si="1"/>
        <v>37.323943661971825</v>
      </c>
      <c r="AF6" s="121">
        <v>526</v>
      </c>
      <c r="AG6" s="122">
        <v>549</v>
      </c>
      <c r="AH6" s="121">
        <f aca="true" t="shared" si="5" ref="AH6:AH12">IF(AND(AG6=0,AF6=0),0,IF(OR(AND(AG6&gt;0,AF6&lt;=0),AND(AG6&lt;0,AF6&gt;=0)),"nm",IF(AND(AG6&lt;0,AF6&lt;0),IF(-(AG6/AF6-1)*100&lt;-100,"(&gt;100)",-(AG6/AF6-1)*100),IF((AG6/AF6-1)*100&gt;100,"&gt;100",(AG6/AF6-1)*100))))</f>
        <v>4.372623574144496</v>
      </c>
      <c r="AI6" s="121">
        <f t="shared" si="3"/>
        <v>384</v>
      </c>
      <c r="AJ6" s="122">
        <f t="shared" si="4"/>
        <v>354</v>
      </c>
      <c r="AK6" s="121">
        <f aca="true" t="shared" si="6" ref="AK6:AK12">IF(AND(AJ6=0,AI6=0),0,IF(OR(AND(AJ6&gt;0,AI6&lt;=0),AND(AJ6&lt;0,AI6&gt;=0)),"nm",IF(AND(AJ6&lt;0,AI6&lt;0),IF(-(AJ6/AI6-1)*100&lt;-100,"(&gt;100)",-(AJ6/AI6-1)*100),IF((AJ6/AI6-1)*100&gt;100,"&gt;100",(AJ6/AI6-1)*100))))</f>
        <v>-7.8125</v>
      </c>
    </row>
    <row r="7" spans="2:37" ht="14.25">
      <c r="B7" s="101" t="s">
        <v>0</v>
      </c>
      <c r="C7" s="20"/>
      <c r="D7" s="121">
        <v>203</v>
      </c>
      <c r="E7" s="121">
        <v>270</v>
      </c>
      <c r="F7" s="121">
        <v>325</v>
      </c>
      <c r="G7" s="121">
        <v>397</v>
      </c>
      <c r="H7" s="121">
        <v>498</v>
      </c>
      <c r="J7" s="121">
        <v>60</v>
      </c>
      <c r="K7" s="121">
        <v>63</v>
      </c>
      <c r="L7" s="121">
        <v>66</v>
      </c>
      <c r="M7" s="121">
        <v>81</v>
      </c>
      <c r="N7" s="121">
        <v>69</v>
      </c>
      <c r="O7" s="121">
        <v>78</v>
      </c>
      <c r="P7" s="121">
        <v>80</v>
      </c>
      <c r="Q7" s="121">
        <v>98</v>
      </c>
      <c r="R7" s="121">
        <v>84</v>
      </c>
      <c r="S7" s="121">
        <v>94</v>
      </c>
      <c r="T7" s="121">
        <v>101</v>
      </c>
      <c r="U7" s="121">
        <v>118</v>
      </c>
      <c r="V7" s="121">
        <v>108</v>
      </c>
      <c r="W7" s="121">
        <v>117</v>
      </c>
      <c r="X7" s="121">
        <v>124</v>
      </c>
      <c r="Y7" s="121">
        <v>149</v>
      </c>
      <c r="Z7" s="121">
        <v>118</v>
      </c>
      <c r="AA7" s="121">
        <v>133</v>
      </c>
      <c r="AB7" s="122">
        <f t="shared" si="2"/>
        <v>145</v>
      </c>
      <c r="AC7" s="121">
        <f t="shared" si="0"/>
        <v>9.022556390977442</v>
      </c>
      <c r="AD7" s="121">
        <f t="shared" si="1"/>
        <v>16.93548387096775</v>
      </c>
      <c r="AF7" s="121">
        <v>349</v>
      </c>
      <c r="AG7" s="122">
        <v>396</v>
      </c>
      <c r="AH7" s="121">
        <f t="shared" si="5"/>
        <v>13.467048710601714</v>
      </c>
      <c r="AI7" s="121">
        <f t="shared" si="3"/>
        <v>225</v>
      </c>
      <c r="AJ7" s="122">
        <f t="shared" si="4"/>
        <v>251</v>
      </c>
      <c r="AK7" s="121">
        <f t="shared" si="6"/>
        <v>11.555555555555564</v>
      </c>
    </row>
    <row r="8" spans="2:37" ht="14.25">
      <c r="B8" s="101" t="s">
        <v>8</v>
      </c>
      <c r="C8" s="20"/>
      <c r="D8" s="121">
        <v>72</v>
      </c>
      <c r="E8" s="121">
        <v>74</v>
      </c>
      <c r="F8" s="121">
        <v>52</v>
      </c>
      <c r="G8" s="121">
        <v>19</v>
      </c>
      <c r="H8" s="121">
        <v>34</v>
      </c>
      <c r="J8" s="121">
        <v>12</v>
      </c>
      <c r="K8" s="121">
        <v>13</v>
      </c>
      <c r="L8" s="121">
        <v>14</v>
      </c>
      <c r="M8" s="121">
        <v>35</v>
      </c>
      <c r="N8" s="121">
        <v>6</v>
      </c>
      <c r="O8" s="121">
        <v>18</v>
      </c>
      <c r="P8" s="121">
        <v>21</v>
      </c>
      <c r="Q8" s="121">
        <v>7</v>
      </c>
      <c r="R8" s="121">
        <v>-2</v>
      </c>
      <c r="S8" s="121">
        <v>4</v>
      </c>
      <c r="T8" s="121">
        <v>7</v>
      </c>
      <c r="U8" s="121">
        <v>10</v>
      </c>
      <c r="V8" s="121">
        <v>5</v>
      </c>
      <c r="W8" s="121">
        <v>2</v>
      </c>
      <c r="X8" s="121">
        <v>8</v>
      </c>
      <c r="Y8" s="121">
        <v>19</v>
      </c>
      <c r="Z8" s="121">
        <v>6</v>
      </c>
      <c r="AA8" s="121">
        <v>19</v>
      </c>
      <c r="AB8" s="122">
        <f t="shared" si="2"/>
        <v>27</v>
      </c>
      <c r="AC8" s="121">
        <f t="shared" si="0"/>
        <v>42.10526315789473</v>
      </c>
      <c r="AD8" s="121" t="str">
        <f t="shared" si="1"/>
        <v>&gt;100</v>
      </c>
      <c r="AF8" s="121">
        <v>15</v>
      </c>
      <c r="AG8" s="122">
        <v>52</v>
      </c>
      <c r="AH8" s="121" t="str">
        <f t="shared" si="5"/>
        <v>&gt;100</v>
      </c>
      <c r="AI8" s="121">
        <f t="shared" si="3"/>
        <v>7</v>
      </c>
      <c r="AJ8" s="122">
        <f t="shared" si="4"/>
        <v>25</v>
      </c>
      <c r="AK8" s="121" t="str">
        <f t="shared" si="6"/>
        <v>&gt;100</v>
      </c>
    </row>
    <row r="9" spans="2:37" ht="14.25">
      <c r="B9" s="102" t="s">
        <v>67</v>
      </c>
      <c r="C9" s="20"/>
      <c r="D9" s="121">
        <v>14</v>
      </c>
      <c r="E9" s="121">
        <v>17</v>
      </c>
      <c r="F9" s="121">
        <v>20</v>
      </c>
      <c r="G9" s="121">
        <v>22</v>
      </c>
      <c r="H9" s="121">
        <v>6</v>
      </c>
      <c r="J9" s="121">
        <v>3</v>
      </c>
      <c r="K9" s="121">
        <v>3</v>
      </c>
      <c r="L9" s="121">
        <v>5</v>
      </c>
      <c r="M9" s="121">
        <v>6</v>
      </c>
      <c r="N9" s="121">
        <v>4</v>
      </c>
      <c r="O9" s="121">
        <v>7</v>
      </c>
      <c r="P9" s="121">
        <v>4</v>
      </c>
      <c r="Q9" s="121">
        <v>5</v>
      </c>
      <c r="R9" s="121">
        <v>5</v>
      </c>
      <c r="S9" s="121">
        <v>5</v>
      </c>
      <c r="T9" s="121">
        <v>3</v>
      </c>
      <c r="U9" s="121">
        <v>9</v>
      </c>
      <c r="V9" s="121">
        <v>2</v>
      </c>
      <c r="W9" s="121">
        <v>1</v>
      </c>
      <c r="X9" s="121">
        <v>1</v>
      </c>
      <c r="Y9" s="121">
        <v>2</v>
      </c>
      <c r="Z9" s="121">
        <v>1</v>
      </c>
      <c r="AA9" s="121">
        <v>3</v>
      </c>
      <c r="AB9" s="122">
        <f t="shared" si="2"/>
        <v>3</v>
      </c>
      <c r="AC9" s="121">
        <f t="shared" si="0"/>
        <v>0</v>
      </c>
      <c r="AD9" s="121" t="str">
        <f t="shared" si="1"/>
        <v>&gt;100</v>
      </c>
      <c r="AF9" s="121">
        <v>4</v>
      </c>
      <c r="AG9" s="122">
        <v>7</v>
      </c>
      <c r="AH9" s="121">
        <f t="shared" si="5"/>
        <v>75</v>
      </c>
      <c r="AI9" s="121">
        <f>SUM(V9:W9)</f>
        <v>3</v>
      </c>
      <c r="AJ9" s="122">
        <f t="shared" si="4"/>
        <v>4</v>
      </c>
      <c r="AK9" s="121">
        <f t="shared" si="6"/>
        <v>33.33333333333333</v>
      </c>
    </row>
    <row r="10" spans="2:37" ht="14.25">
      <c r="B10" s="102" t="s">
        <v>9</v>
      </c>
      <c r="C10" s="20"/>
      <c r="D10" s="121">
        <v>118</v>
      </c>
      <c r="E10" s="121">
        <v>82</v>
      </c>
      <c r="F10" s="121">
        <v>69</v>
      </c>
      <c r="G10" s="121">
        <v>218</v>
      </c>
      <c r="H10" s="121">
        <v>137</v>
      </c>
      <c r="J10" s="121">
        <v>48</v>
      </c>
      <c r="K10" s="121">
        <v>30</v>
      </c>
      <c r="L10" s="121">
        <v>26</v>
      </c>
      <c r="M10" s="121">
        <v>-22</v>
      </c>
      <c r="N10" s="121">
        <v>36</v>
      </c>
      <c r="O10" s="121">
        <v>15</v>
      </c>
      <c r="P10" s="121">
        <v>26</v>
      </c>
      <c r="Q10" s="121">
        <v>-8</v>
      </c>
      <c r="R10" s="121">
        <v>64</v>
      </c>
      <c r="S10" s="121">
        <v>56</v>
      </c>
      <c r="T10" s="121">
        <v>56</v>
      </c>
      <c r="U10" s="121">
        <v>42</v>
      </c>
      <c r="V10" s="121">
        <v>70</v>
      </c>
      <c r="W10" s="121">
        <v>85</v>
      </c>
      <c r="X10" s="121">
        <v>11</v>
      </c>
      <c r="Y10" s="121">
        <v>-29</v>
      </c>
      <c r="Z10" s="121">
        <v>47</v>
      </c>
      <c r="AA10" s="121">
        <v>35</v>
      </c>
      <c r="AB10" s="122">
        <f t="shared" si="2"/>
        <v>26</v>
      </c>
      <c r="AC10" s="121">
        <f t="shared" si="0"/>
        <v>-25.71428571428571</v>
      </c>
      <c r="AD10" s="121" t="str">
        <f t="shared" si="1"/>
        <v>&gt;100</v>
      </c>
      <c r="AF10" s="121">
        <v>166</v>
      </c>
      <c r="AG10" s="122">
        <v>108</v>
      </c>
      <c r="AH10" s="121">
        <f t="shared" si="5"/>
        <v>-34.93975903614458</v>
      </c>
      <c r="AI10" s="121">
        <f t="shared" si="3"/>
        <v>155</v>
      </c>
      <c r="AJ10" s="122">
        <f t="shared" si="4"/>
        <v>82</v>
      </c>
      <c r="AK10" s="121">
        <f t="shared" si="6"/>
        <v>-47.096774193548384</v>
      </c>
    </row>
    <row r="11" spans="2:37" ht="14.25">
      <c r="B11" s="102" t="s">
        <v>68</v>
      </c>
      <c r="C11" s="20"/>
      <c r="D11" s="121">
        <v>14</v>
      </c>
      <c r="E11" s="121">
        <v>14</v>
      </c>
      <c r="F11" s="121">
        <v>22</v>
      </c>
      <c r="G11" s="121">
        <v>40</v>
      </c>
      <c r="H11" s="121">
        <v>27</v>
      </c>
      <c r="J11" s="121">
        <v>9</v>
      </c>
      <c r="K11" s="121">
        <v>9</v>
      </c>
      <c r="L11" s="121">
        <v>5</v>
      </c>
      <c r="M11" s="121">
        <v>-9</v>
      </c>
      <c r="N11" s="121">
        <v>6</v>
      </c>
      <c r="O11" s="121">
        <v>3</v>
      </c>
      <c r="P11" s="121">
        <v>6</v>
      </c>
      <c r="Q11" s="121">
        <v>7</v>
      </c>
      <c r="R11" s="121">
        <v>11</v>
      </c>
      <c r="S11" s="121">
        <v>13</v>
      </c>
      <c r="T11" s="121">
        <v>10</v>
      </c>
      <c r="U11" s="121">
        <v>6</v>
      </c>
      <c r="V11" s="121">
        <v>15</v>
      </c>
      <c r="W11" s="121">
        <v>18</v>
      </c>
      <c r="X11" s="121">
        <v>0</v>
      </c>
      <c r="Y11" s="121">
        <v>-6</v>
      </c>
      <c r="Z11" s="121">
        <v>10</v>
      </c>
      <c r="AA11" s="121">
        <v>14</v>
      </c>
      <c r="AB11" s="122">
        <f t="shared" si="2"/>
        <v>10</v>
      </c>
      <c r="AC11" s="121">
        <f t="shared" si="0"/>
        <v>-28.57142857142857</v>
      </c>
      <c r="AD11" s="121" t="str">
        <f t="shared" si="1"/>
        <v>nm</v>
      </c>
      <c r="AF11" s="121">
        <v>33</v>
      </c>
      <c r="AG11" s="122">
        <v>34</v>
      </c>
      <c r="AH11" s="121">
        <f t="shared" si="5"/>
        <v>3.0303030303030276</v>
      </c>
      <c r="AI11" s="121">
        <f t="shared" si="3"/>
        <v>33</v>
      </c>
      <c r="AJ11" s="122">
        <f t="shared" si="4"/>
        <v>24</v>
      </c>
      <c r="AK11" s="121">
        <f t="shared" si="6"/>
        <v>-27.27272727272727</v>
      </c>
    </row>
    <row r="12" spans="2:37" ht="14.25">
      <c r="B12" s="102" t="s">
        <v>53</v>
      </c>
      <c r="C12" s="20"/>
      <c r="D12" s="121">
        <v>104</v>
      </c>
      <c r="E12" s="121">
        <v>68</v>
      </c>
      <c r="F12" s="121">
        <v>47</v>
      </c>
      <c r="G12" s="121">
        <v>178</v>
      </c>
      <c r="H12" s="121">
        <v>110</v>
      </c>
      <c r="J12" s="121">
        <v>39</v>
      </c>
      <c r="K12" s="121">
        <v>21</v>
      </c>
      <c r="L12" s="121">
        <v>21</v>
      </c>
      <c r="M12" s="121">
        <v>-13</v>
      </c>
      <c r="N12" s="121">
        <v>30</v>
      </c>
      <c r="O12" s="121">
        <v>12</v>
      </c>
      <c r="P12" s="121">
        <v>20</v>
      </c>
      <c r="Q12" s="121">
        <v>-15</v>
      </c>
      <c r="R12" s="121">
        <v>53</v>
      </c>
      <c r="S12" s="121">
        <v>43</v>
      </c>
      <c r="T12" s="121">
        <v>46</v>
      </c>
      <c r="U12" s="121">
        <v>36</v>
      </c>
      <c r="V12" s="121">
        <v>55</v>
      </c>
      <c r="W12" s="121">
        <v>67</v>
      </c>
      <c r="X12" s="121">
        <v>11</v>
      </c>
      <c r="Y12" s="121">
        <v>-23</v>
      </c>
      <c r="Z12" s="121">
        <v>37</v>
      </c>
      <c r="AA12" s="121">
        <v>21</v>
      </c>
      <c r="AB12" s="122">
        <f t="shared" si="2"/>
        <v>16</v>
      </c>
      <c r="AC12" s="121">
        <f t="shared" si="0"/>
        <v>-23.809523809523814</v>
      </c>
      <c r="AD12" s="121">
        <f t="shared" si="1"/>
        <v>45.45454545454546</v>
      </c>
      <c r="AF12" s="121">
        <v>133</v>
      </c>
      <c r="AG12" s="122">
        <v>74</v>
      </c>
      <c r="AH12" s="121">
        <f t="shared" si="5"/>
        <v>-44.360902255639104</v>
      </c>
      <c r="AI12" s="121">
        <f t="shared" si="3"/>
        <v>122</v>
      </c>
      <c r="AJ12" s="122">
        <f>SUM(Z12:AA12)</f>
        <v>58</v>
      </c>
      <c r="AK12" s="121">
        <f t="shared" si="6"/>
        <v>-52.459016393442624</v>
      </c>
    </row>
    <row r="13" spans="3:26" ht="14.25">
      <c r="C13" s="20"/>
      <c r="D13" s="121"/>
      <c r="H13" s="165"/>
      <c r="Z13" s="165"/>
    </row>
    <row r="14" spans="1:37"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7"/>
      <c r="AB14" s="498"/>
      <c r="AC14" s="17"/>
      <c r="AD14" s="17"/>
      <c r="AE14" s="17"/>
      <c r="AF14" s="169"/>
      <c r="AG14" s="498"/>
      <c r="AH14" s="17"/>
      <c r="AI14" s="169"/>
      <c r="AJ14" s="125"/>
      <c r="AK14" s="17"/>
    </row>
    <row r="15" spans="2:37" ht="14.25">
      <c r="B15" s="101" t="s">
        <v>71</v>
      </c>
      <c r="C15" s="20"/>
      <c r="D15" s="121">
        <v>9683</v>
      </c>
      <c r="E15" s="121">
        <v>10252</v>
      </c>
      <c r="F15" s="121">
        <v>12208</v>
      </c>
      <c r="G15" s="121">
        <v>16341</v>
      </c>
      <c r="H15" s="121">
        <v>18278</v>
      </c>
      <c r="J15" s="121">
        <v>9439</v>
      </c>
      <c r="K15" s="121">
        <v>9154</v>
      </c>
      <c r="L15" s="121">
        <v>9510</v>
      </c>
      <c r="M15" s="121">
        <v>10252</v>
      </c>
      <c r="N15" s="121">
        <v>10798</v>
      </c>
      <c r="O15" s="121">
        <v>11524</v>
      </c>
      <c r="P15" s="121">
        <v>11541</v>
      </c>
      <c r="Q15" s="121">
        <v>12208</v>
      </c>
      <c r="R15" s="121">
        <v>13028</v>
      </c>
      <c r="S15" s="121">
        <v>14379</v>
      </c>
      <c r="T15" s="121">
        <v>15743</v>
      </c>
      <c r="U15" s="121">
        <v>16341</v>
      </c>
      <c r="V15" s="121">
        <v>16111</v>
      </c>
      <c r="W15" s="121">
        <v>16905</v>
      </c>
      <c r="X15" s="121">
        <v>17398</v>
      </c>
      <c r="Y15" s="121">
        <v>18278</v>
      </c>
      <c r="Z15" s="121">
        <v>19050</v>
      </c>
      <c r="AA15" s="121">
        <v>19949</v>
      </c>
      <c r="AB15" s="122">
        <f>AG15</f>
        <v>20079</v>
      </c>
      <c r="AC15" s="121">
        <f>IF(AND(AB15=0,AB15=0),0,IF(OR(AND(AB15&gt;0,AA15&lt;=0),AND(AB15&lt;0,AA15&gt;=0)),"nm",IF(AND(AB15&lt;0,AA15&lt;0),IF(-(AB15/AA15-1)*100&lt;-100,"(&gt;100)",-(AB15/AA15-1)*100),IF((AB15/AA15-1)*100&gt;100,"&gt;100",(AB15/AA15-1)*100))))</f>
        <v>0.6516617374304534</v>
      </c>
      <c r="AD15" s="121">
        <f>IF(AND(AB15=0,X15=0),0,IF(OR(AND(AB15&gt;0,X15&lt;=0),AND(AB15&lt;0,X15&gt;=0)),"nm",IF(AND(AB15&lt;0,X15&lt;0),IF(-(AB15/X15-1)*100&lt;-100,"(&gt;100)",-(AB15/X15-1)*100),IF((AB15/X15-1)*100&gt;100,"&gt;100",(AB15/X15-1)*100))))</f>
        <v>15.409817220370158</v>
      </c>
      <c r="AF15" s="121">
        <v>17398</v>
      </c>
      <c r="AG15" s="122">
        <v>20079</v>
      </c>
      <c r="AH15" s="121">
        <f>IF(AND(AG15=0,AF15=0),0,IF(OR(AND(AG15&gt;0,AF15&lt;=0),AND(AG15&lt;0,AF15&gt;=0)),"nm",IF(AND(AG15&lt;0,AF15&lt;0),IF(-(AG15/AF15-1)*100&lt;-100,"(&gt;100)",-(AG15/AF15-1)*100),IF((AG15/AF15-1)*100&gt;100,"&gt;100",(AG15/AF15-1)*100))))</f>
        <v>15.409817220370158</v>
      </c>
      <c r="AI15" s="121">
        <f>W15</f>
        <v>16905</v>
      </c>
      <c r="AJ15" s="122">
        <f>AA15</f>
        <v>19949</v>
      </c>
      <c r="AK15" s="121">
        <f>IF(AND(AJ15=0,AI15=0),0,IF(OR(AND(AJ15&gt;0,AI15&lt;=0),AND(AJ15&lt;0,AI15&gt;=0)),"nm",IF(AND(AJ15&lt;0,AI15&lt;0),IF(-(AJ15/AI15-1)*100&lt;-100,"(&gt;100)",-(AJ15/AI15-1)*100),IF((AJ15/AI15-1)*100&gt;100,"&gt;100",(AJ15/AI15-1)*100))))</f>
        <v>18.006506950606326</v>
      </c>
    </row>
    <row r="16" spans="2:37" ht="14.25">
      <c r="B16" s="101" t="s">
        <v>72</v>
      </c>
      <c r="C16" s="20"/>
      <c r="D16" s="121">
        <v>16563</v>
      </c>
      <c r="E16" s="121">
        <v>14362</v>
      </c>
      <c r="F16" s="121">
        <v>21033</v>
      </c>
      <c r="G16" s="121">
        <v>31281</v>
      </c>
      <c r="H16" s="121">
        <v>35317</v>
      </c>
      <c r="J16" s="121">
        <v>14438</v>
      </c>
      <c r="K16" s="121">
        <v>13778</v>
      </c>
      <c r="L16" s="121">
        <v>15023</v>
      </c>
      <c r="M16" s="121">
        <v>14362</v>
      </c>
      <c r="N16" s="121">
        <v>15724</v>
      </c>
      <c r="O16" s="121">
        <v>16974</v>
      </c>
      <c r="P16" s="121">
        <v>18861</v>
      </c>
      <c r="Q16" s="121">
        <v>21033</v>
      </c>
      <c r="R16" s="121">
        <v>23097</v>
      </c>
      <c r="S16" s="121">
        <v>25727</v>
      </c>
      <c r="T16" s="121">
        <v>31061</v>
      </c>
      <c r="U16" s="121">
        <v>31281</v>
      </c>
      <c r="V16" s="121">
        <v>30381</v>
      </c>
      <c r="W16" s="121">
        <v>33591</v>
      </c>
      <c r="X16" s="121">
        <v>32567</v>
      </c>
      <c r="Y16" s="121">
        <v>35317</v>
      </c>
      <c r="Z16" s="121">
        <v>38660</v>
      </c>
      <c r="AA16" s="121">
        <v>41490</v>
      </c>
      <c r="AB16" s="122">
        <f>AG16</f>
        <v>41821</v>
      </c>
      <c r="AC16" s="121">
        <f>IF(AND(AB16=0,AB16=0),0,IF(OR(AND(AB16&gt;0,AA16&lt;=0),AND(AB16&lt;0,AA16&gt;=0)),"nm",IF(AND(AB16&lt;0,AA16&lt;0),IF(-(AB16/AA16-1)*100&lt;-100,"(&gt;100)",-(AB16/AA16-1)*100),IF((AB16/AA16-1)*100&gt;100,"&gt;100",(AB16/AA16-1)*100))))</f>
        <v>0.7977825982164344</v>
      </c>
      <c r="AD16" s="121">
        <f>IF(AND(AB16=0,X16=0),0,IF(OR(AND(AB16&gt;0,X16&lt;=0),AND(AB16&lt;0,X16&gt;=0)),"nm",IF(AND(AB16&lt;0,X16&lt;0),IF(-(AB16/X16-1)*100&lt;-100,"(&gt;100)",-(AB16/X16-1)*100),IF((AB16/X16-1)*100&gt;100,"&gt;100",(AB16/X16-1)*100))))</f>
        <v>28.415266988055386</v>
      </c>
      <c r="AF16" s="121">
        <v>32567</v>
      </c>
      <c r="AG16" s="122">
        <v>41821</v>
      </c>
      <c r="AH16" s="121">
        <f>IF(AND(AG16=0,AF16=0),0,IF(OR(AND(AG16&gt;0,AF16&lt;=0),AND(AG16&lt;0,AF16&gt;=0)),"nm",IF(AND(AG16&lt;0,AF16&lt;0),IF(-(AG16/AF16-1)*100&lt;-100,"(&gt;100)",-(AG16/AF16-1)*100),IF((AG16/AF16-1)*100&gt;100,"&gt;100",(AG16/AF16-1)*100))))</f>
        <v>28.415266988055386</v>
      </c>
      <c r="AI16" s="121">
        <f>W16</f>
        <v>33591</v>
      </c>
      <c r="AJ16" s="122">
        <f>AA16</f>
        <v>41490</v>
      </c>
      <c r="AK16" s="121">
        <f>IF(AND(AJ16=0,AI16=0),0,IF(OR(AND(AJ16&gt;0,AI16&lt;=0),AND(AJ16&lt;0,AI16&gt;=0)),"nm",IF(AND(AJ16&lt;0,AI16&lt;0),IF(-(AJ16/AI16-1)*100&lt;-100,"(&gt;100)",-(AJ16/AI16-1)*100),IF((AJ16/AI16-1)*100&gt;100,"&gt;100",(AJ16/AI16-1)*100))))</f>
        <v>23.51522729302491</v>
      </c>
    </row>
    <row r="17" spans="2:37" ht="14.25">
      <c r="B17" s="101" t="s">
        <v>10</v>
      </c>
      <c r="C17" s="20"/>
      <c r="D17" s="121">
        <v>16563</v>
      </c>
      <c r="E17" s="121">
        <v>14362</v>
      </c>
      <c r="F17" s="121">
        <v>21033</v>
      </c>
      <c r="G17" s="121">
        <v>31281</v>
      </c>
      <c r="H17" s="121">
        <v>35317</v>
      </c>
      <c r="J17" s="121">
        <v>14438</v>
      </c>
      <c r="K17" s="121">
        <v>13778</v>
      </c>
      <c r="L17" s="121">
        <v>15023</v>
      </c>
      <c r="M17" s="121">
        <v>14362</v>
      </c>
      <c r="N17" s="121">
        <v>15724</v>
      </c>
      <c r="O17" s="121">
        <v>16974</v>
      </c>
      <c r="P17" s="121">
        <v>18861</v>
      </c>
      <c r="Q17" s="121">
        <v>21033</v>
      </c>
      <c r="R17" s="121">
        <v>23097</v>
      </c>
      <c r="S17" s="121">
        <v>25727</v>
      </c>
      <c r="T17" s="121">
        <v>31061</v>
      </c>
      <c r="U17" s="121">
        <v>31281</v>
      </c>
      <c r="V17" s="121">
        <v>30381</v>
      </c>
      <c r="W17" s="121">
        <f>W16</f>
        <v>33591</v>
      </c>
      <c r="X17" s="121">
        <v>32567</v>
      </c>
      <c r="Y17" s="121">
        <v>35317</v>
      </c>
      <c r="Z17" s="121">
        <f>Z16</f>
        <v>38660</v>
      </c>
      <c r="AA17" s="121">
        <f>AA16</f>
        <v>41490</v>
      </c>
      <c r="AB17" s="122">
        <f>AG17</f>
        <v>41821</v>
      </c>
      <c r="AC17" s="121">
        <f>IF(AND(AB17=0,AB17=0),0,IF(OR(AND(AB17&gt;0,AA17&lt;=0),AND(AB17&lt;0,AA17&gt;=0)),"nm",IF(AND(AB17&lt;0,AA17&lt;0),IF(-(AB17/AA17-1)*100&lt;-100,"(&gt;100)",-(AB17/AA17-1)*100),IF((AB17/AA17-1)*100&gt;100,"&gt;100",(AB17/AA17-1)*100))))</f>
        <v>0.7977825982164344</v>
      </c>
      <c r="AD17" s="121">
        <f>IF(AND(AB17=0,X17=0),0,IF(OR(AND(AB17&gt;0,X17&lt;=0),AND(AB17&lt;0,X17&gt;=0)),"nm",IF(AND(AB17&lt;0,X17&lt;0),IF(-(AB17/X17-1)*100&lt;-100,"(&gt;100)",-(AB17/X17-1)*100),IF((AB17/X17-1)*100&gt;100,"&gt;100",(AB17/X17-1)*100))))</f>
        <v>28.415266988055386</v>
      </c>
      <c r="AF17" s="121">
        <v>32567</v>
      </c>
      <c r="AG17" s="122">
        <v>41821</v>
      </c>
      <c r="AH17" s="121">
        <f>IF(AND(AG17=0,AF17=0),0,IF(OR(AND(AG17&gt;0,AF17&lt;=0),AND(AG17&lt;0,AF17&gt;=0)),"nm",IF(AND(AG17&lt;0,AF17&lt;0),IF(-(AG17/AF17-1)*100&lt;-100,"(&gt;100)",-(AG17/AF17-1)*100),IF((AG17/AF17-1)*100&gt;100,"&gt;100",(AG17/AF17-1)*100))))</f>
        <v>28.415266988055386</v>
      </c>
      <c r="AI17" s="121">
        <f>W17</f>
        <v>33591</v>
      </c>
      <c r="AJ17" s="122">
        <f>AA17</f>
        <v>41490</v>
      </c>
      <c r="AK17" s="121">
        <f>IF(AND(AJ17=0,AI17=0),0,IF(OR(AND(AJ17&gt;0,AI17&lt;=0),AND(AJ17&lt;0,AI17&gt;=0)),"nm",IF(AND(AJ17&lt;0,AI17&lt;0),IF(-(AJ17/AI17-1)*100&lt;-100,"(&gt;100)",-(AJ17/AI17-1)*100),IF((AJ17/AI17-1)*100&gt;100,"&gt;100",(AJ17/AI17-1)*100))))</f>
        <v>23.51522729302491</v>
      </c>
    </row>
    <row r="18" spans="3:36" ht="14.25">
      <c r="C18" s="20"/>
      <c r="D18" s="121"/>
      <c r="Z18" s="355"/>
      <c r="AA18" s="355"/>
      <c r="AB18" s="489"/>
      <c r="AF18" s="165"/>
      <c r="AG18" s="489"/>
      <c r="AI18" s="165"/>
      <c r="AJ18" s="461"/>
    </row>
    <row r="19" spans="4:33" ht="14.25">
      <c r="D19" s="121"/>
      <c r="Z19" s="355"/>
      <c r="AA19" s="355"/>
      <c r="AB19" s="352"/>
      <c r="AG19" s="489"/>
    </row>
    <row r="20" spans="26:33" ht="14.25">
      <c r="Z20" s="355"/>
      <c r="AA20" s="355"/>
      <c r="AB20" s="352"/>
      <c r="AG20" s="489"/>
    </row>
    <row r="21" spans="26:33" ht="14.25">
      <c r="Z21" s="355"/>
      <c r="AA21" s="355"/>
      <c r="AB21" s="352"/>
      <c r="AG21" s="489"/>
    </row>
    <row r="22" spans="26:33" ht="14.25">
      <c r="Z22" s="355"/>
      <c r="AA22" s="355"/>
      <c r="AB22" s="352"/>
      <c r="AG22" s="489"/>
    </row>
    <row r="23" spans="26:33" ht="14.25">
      <c r="Z23" s="355"/>
      <c r="AA23" s="355"/>
      <c r="AB23" s="352"/>
      <c r="AG23" s="489"/>
    </row>
    <row r="24" spans="26:33" ht="14.25">
      <c r="Z24" s="355"/>
      <c r="AA24" s="355"/>
      <c r="AB24" s="352"/>
      <c r="AG24" s="489"/>
    </row>
    <row r="25" spans="26:28" ht="14.25">
      <c r="Z25" s="355"/>
      <c r="AA25" s="355"/>
      <c r="AB25" s="352"/>
    </row>
  </sheetData>
  <sheetProtection/>
  <mergeCells count="1">
    <mergeCell ref="A2:C2"/>
  </mergeCells>
  <hyperlinks>
    <hyperlink ref="A2" location="Index!A1" display="Back to Index"/>
  </hyperlinks>
  <printOptions/>
  <pageMargins left="0.5" right="0.36" top="1" bottom="1" header="0.5" footer="0.5"/>
  <pageSetup fitToHeight="1" fitToWidth="1" horizontalDpi="600" verticalDpi="600" orientation="portrait" scale="83" r:id="rId1"/>
  <headerFooter alignWithMargins="0">
    <oddFooter>&amp;L&amp;Z&amp;F&amp;A&amp;R&amp;D&amp;T</oddFooter>
  </headerFooter>
  <ignoredErrors>
    <ignoredError sqref="AI4:AJ12" formulaRange="1"/>
  </ignoredErrors>
</worksheet>
</file>

<file path=xl/worksheets/sheet23.xml><?xml version="1.0" encoding="utf-8"?>
<worksheet xmlns="http://schemas.openxmlformats.org/spreadsheetml/2006/main" xmlns:r="http://schemas.openxmlformats.org/officeDocument/2006/relationships">
  <sheetPr>
    <tabColor indexed="18"/>
    <pageSetUpPr fitToPage="1"/>
  </sheetPr>
  <dimension ref="A1:AK32"/>
  <sheetViews>
    <sheetView zoomScale="80" zoomScaleNormal="80" zoomScalePageLayoutView="0" workbookViewId="0" topLeftCell="A1">
      <pane xSplit="3" ySplit="2" topLeftCell="V3" activePane="bottomRight" state="frozen"/>
      <selection pane="topLeft" activeCell="AA19" sqref="AA19"/>
      <selection pane="topRight" activeCell="AA19" sqref="AA19"/>
      <selection pane="bottomLeft" activeCell="AA19" sqref="AA19"/>
      <selection pane="bottomRight" activeCell="AF1" sqref="AF1:AF65536"/>
    </sheetView>
  </sheetViews>
  <sheetFormatPr defaultColWidth="9.140625" defaultRowHeight="12.75" outlineLevelCol="1"/>
  <cols>
    <col min="1" max="1" width="4.00390625" style="20" customWidth="1"/>
    <col min="2" max="2" width="4.28125" style="20" customWidth="1"/>
    <col min="3" max="3" width="32.28125" style="5" customWidth="1"/>
    <col min="4" max="4" width="7.2812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7" width="8.57421875" style="121" bestFit="1" customWidth="1"/>
    <col min="28" max="28" width="8.57421875" style="122" bestFit="1" customWidth="1"/>
    <col min="29" max="30" width="6.57421875" style="121" bestFit="1" customWidth="1"/>
    <col min="31" max="31" width="4.57421875" style="121" customWidth="1"/>
    <col min="32" max="32" width="8.57421875" style="121" customWidth="1"/>
    <col min="33" max="33" width="8.57421875" style="122" customWidth="1"/>
    <col min="34" max="34" width="8.7109375" style="121" customWidth="1"/>
    <col min="35" max="35" width="8.57421875" style="121" hidden="1" customWidth="1"/>
    <col min="36" max="36" width="8.57421875" style="122" hidden="1" customWidth="1"/>
    <col min="37" max="37" width="8.7109375" style="121" hidden="1" customWidth="1"/>
    <col min="38" max="16384" width="9.140625" style="20" customWidth="1"/>
  </cols>
  <sheetData>
    <row r="1" spans="1:37" s="42" customFormat="1" ht="20.25">
      <c r="A1" s="41" t="s">
        <v>93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+'21.GreaterChina'!AC2</f>
        <v>3Q13
vs 
2Q13</v>
      </c>
      <c r="AD2" s="285" t="str">
        <f>+'21.GreaterChina'!AD2</f>
        <v>3Q13
vs 
3Q12</v>
      </c>
      <c r="AF2" s="74" t="s">
        <v>442</v>
      </c>
      <c r="AG2" s="74" t="s">
        <v>443</v>
      </c>
      <c r="AH2" s="285" t="s">
        <v>444</v>
      </c>
      <c r="AI2" s="285" t="str">
        <f>+'21.GreaterChina'!AI2</f>
        <v>9M12</v>
      </c>
      <c r="AJ2" s="285" t="str">
        <f>+'21.GreaterChina'!AJ2</f>
        <v>9M13</v>
      </c>
      <c r="AK2" s="285" t="str">
        <f>+'21.GreaterChina'!AK2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54"/>
      <c r="AA3" s="354"/>
      <c r="AB3" s="498"/>
      <c r="AC3" s="17"/>
      <c r="AD3" s="17"/>
      <c r="AE3" s="17"/>
      <c r="AF3" s="17"/>
      <c r="AG3" s="141"/>
      <c r="AH3" s="17"/>
      <c r="AI3" s="17"/>
      <c r="AJ3" s="144"/>
      <c r="AK3" s="17"/>
    </row>
    <row r="4" spans="2:37" ht="14.25">
      <c r="B4" s="101" t="s">
        <v>5</v>
      </c>
      <c r="C4" s="20"/>
      <c r="D4" s="121">
        <v>164</v>
      </c>
      <c r="E4" s="121">
        <v>326</v>
      </c>
      <c r="F4" s="121">
        <v>283</v>
      </c>
      <c r="G4" s="121">
        <v>361</v>
      </c>
      <c r="H4" s="121">
        <v>451</v>
      </c>
      <c r="J4" s="121">
        <v>73</v>
      </c>
      <c r="K4" s="121">
        <v>90</v>
      </c>
      <c r="L4" s="121">
        <v>84</v>
      </c>
      <c r="M4" s="121">
        <v>79</v>
      </c>
      <c r="N4" s="121">
        <v>77</v>
      </c>
      <c r="O4" s="121">
        <v>70</v>
      </c>
      <c r="P4" s="121">
        <v>68</v>
      </c>
      <c r="Q4" s="121">
        <v>68</v>
      </c>
      <c r="R4" s="121">
        <v>74</v>
      </c>
      <c r="S4" s="121">
        <v>91</v>
      </c>
      <c r="T4" s="121">
        <v>98</v>
      </c>
      <c r="U4" s="121">
        <v>98</v>
      </c>
      <c r="V4" s="121">
        <v>105</v>
      </c>
      <c r="W4" s="121">
        <v>114</v>
      </c>
      <c r="X4" s="121">
        <v>118</v>
      </c>
      <c r="Y4" s="121">
        <v>114</v>
      </c>
      <c r="Z4" s="121">
        <v>109</v>
      </c>
      <c r="AA4" s="121">
        <v>111</v>
      </c>
      <c r="AB4" s="122">
        <f>AG4-Z4-AA4</f>
        <v>94</v>
      </c>
      <c r="AC4" s="121">
        <f aca="true" t="shared" si="0" ref="AC4:AC12">IF(AND(AB4=0,AB4=0),0,IF(OR(AND(AB4&gt;0,AA4&lt;=0),AND(AB4&lt;0,AA4&gt;=0)),"nm",IF(AND(AB4&lt;0,AA4&lt;0),IF(-(AB4/AA4-1)*100&lt;-100,"(&gt;100)",-(AB4/AA4-1)*100),IF((AB4/AA4-1)*100&gt;100,"&gt;100",(AB4/AA4-1)*100))))</f>
        <v>-15.315315315315313</v>
      </c>
      <c r="AD4" s="121">
        <f aca="true" t="shared" si="1" ref="AD4:AD12">IF(AND(AB4=0,X4=0),0,IF(OR(AND(AB4&gt;0,X4&lt;=0),AND(AB4&lt;0,X4&gt;=0)),"nm",IF(AND(AB4&lt;0,X4&lt;0),IF(-(AB4/X4-1)*100&lt;-100,"(&gt;100)",-(AB4/X4-1)*100),IF((AB4/X4-1)*100&gt;100,"&gt;100",(AB4/X4-1)*100))))</f>
        <v>-20.33898305084746</v>
      </c>
      <c r="AF4" s="121">
        <v>337</v>
      </c>
      <c r="AG4" s="122">
        <v>314</v>
      </c>
      <c r="AH4" s="121">
        <f>IF(AND(AG4=0,AF4=0),0,IF(OR(AND(AG4&gt;0,AF4&lt;=0),AND(AG4&lt;0,AF4&gt;=0)),"nm",IF(AND(AG4&lt;0,AF4&lt;0),IF(-(AG4/AF4-1)*100&lt;-100,"(&gt;100)",-(AG4/AF4-1)*100),IF((AG4/AF4-1)*100&gt;100,"&gt;100",(AG4/AF4-1)*100))))</f>
        <v>-6.824925816023741</v>
      </c>
      <c r="AI4" s="121">
        <f>SUM(V4:W4)</f>
        <v>219</v>
      </c>
      <c r="AJ4" s="122">
        <f aca="true" t="shared" si="2" ref="AJ4:AJ12">SUM(Z4:AA4)</f>
        <v>220</v>
      </c>
      <c r="AK4" s="121">
        <f>IF(AND(AJ4=0,AI4=0),0,IF(OR(AND(AJ4&gt;0,AI4&lt;=0),AND(AJ4&lt;0,AI4&gt;=0)),"nm",IF(AND(AJ4&lt;0,AI4&lt;0),IF(-(AJ4/AI4-1)*100&lt;-100,"(&gt;100)",-(AJ4/AI4-1)*100),IF((AJ4/AI4-1)*100&gt;100,"&gt;100",(AJ4/AI4-1)*100))))</f>
        <v>0.45662100456620447</v>
      </c>
    </row>
    <row r="5" spans="2:37" ht="14.25">
      <c r="B5" s="101" t="s">
        <v>25</v>
      </c>
      <c r="C5" s="20"/>
      <c r="D5" s="121">
        <v>195</v>
      </c>
      <c r="E5" s="121">
        <v>175</v>
      </c>
      <c r="F5" s="121">
        <v>174</v>
      </c>
      <c r="G5" s="121">
        <v>196</v>
      </c>
      <c r="H5" s="121">
        <v>140</v>
      </c>
      <c r="J5" s="121">
        <v>82</v>
      </c>
      <c r="K5" s="121">
        <v>31</v>
      </c>
      <c r="L5" s="121">
        <v>36</v>
      </c>
      <c r="M5" s="121">
        <v>26</v>
      </c>
      <c r="N5" s="121">
        <v>54</v>
      </c>
      <c r="O5" s="121">
        <v>52</v>
      </c>
      <c r="P5" s="121">
        <v>35</v>
      </c>
      <c r="Q5" s="121">
        <v>33</v>
      </c>
      <c r="R5" s="121">
        <v>57</v>
      </c>
      <c r="S5" s="121">
        <v>33</v>
      </c>
      <c r="T5" s="121">
        <v>63</v>
      </c>
      <c r="U5" s="121">
        <v>43</v>
      </c>
      <c r="V5" s="121">
        <v>62</v>
      </c>
      <c r="W5" s="121">
        <v>23</v>
      </c>
      <c r="X5" s="121">
        <v>22</v>
      </c>
      <c r="Y5" s="121">
        <v>33</v>
      </c>
      <c r="Z5" s="121">
        <v>44</v>
      </c>
      <c r="AA5" s="121">
        <v>37</v>
      </c>
      <c r="AB5" s="122">
        <f aca="true" t="shared" si="3" ref="AB5:AB12">AG5-Z5-AA5</f>
        <v>76</v>
      </c>
      <c r="AC5" s="121" t="str">
        <f t="shared" si="0"/>
        <v>&gt;100</v>
      </c>
      <c r="AD5" s="121" t="str">
        <f t="shared" si="1"/>
        <v>&gt;100</v>
      </c>
      <c r="AF5" s="121">
        <v>107</v>
      </c>
      <c r="AG5" s="122">
        <v>157</v>
      </c>
      <c r="AH5" s="121">
        <f>IF(AND(AG5=0,AF5=0),0,IF(OR(AND(AG5&gt;0,AF5&lt;=0),AND(AG5&lt;0,AF5&gt;=0)),"nm",IF(AND(AG5&lt;0,AF5&lt;0),IF(-(AG5/AF5-1)*100&lt;-100,"(&gt;100)",-(AG5/AF5-1)*100),IF((AG5/AF5-1)*100&gt;100,"&gt;100",(AG5/AF5-1)*100))))</f>
        <v>46.728971962616825</v>
      </c>
      <c r="AI5" s="121">
        <f>SUM(V5:W5)</f>
        <v>85</v>
      </c>
      <c r="AJ5" s="122">
        <f t="shared" si="2"/>
        <v>81</v>
      </c>
      <c r="AK5" s="121">
        <f>IF(AND(AJ5=0,AI5=0),0,IF(OR(AND(AJ5&gt;0,AI5&lt;=0),AND(AJ5&lt;0,AI5&gt;=0)),"nm",IF(AND(AJ5&lt;0,AI5&lt;0),IF(-(AJ5/AI5-1)*100&lt;-100,"(&gt;100)",-(AJ5/AI5-1)*100),IF((AJ5/AI5-1)*100&gt;100,"&gt;100",(AJ5/AI5-1)*100))))</f>
        <v>-4.705882352941182</v>
      </c>
    </row>
    <row r="6" spans="2:37" ht="14.25">
      <c r="B6" s="101" t="s">
        <v>6</v>
      </c>
      <c r="C6" s="20"/>
      <c r="D6" s="121">
        <v>359</v>
      </c>
      <c r="E6" s="121">
        <v>501</v>
      </c>
      <c r="F6" s="121">
        <v>457</v>
      </c>
      <c r="G6" s="121">
        <v>557</v>
      </c>
      <c r="H6" s="121">
        <v>591</v>
      </c>
      <c r="J6" s="121">
        <v>155</v>
      </c>
      <c r="K6" s="121">
        <v>121</v>
      </c>
      <c r="L6" s="121">
        <v>120</v>
      </c>
      <c r="M6" s="121">
        <v>105</v>
      </c>
      <c r="N6" s="121">
        <v>131</v>
      </c>
      <c r="O6" s="121">
        <v>122</v>
      </c>
      <c r="P6" s="121">
        <v>103</v>
      </c>
      <c r="Q6" s="121">
        <v>101</v>
      </c>
      <c r="R6" s="121">
        <v>131</v>
      </c>
      <c r="S6" s="121">
        <v>124</v>
      </c>
      <c r="T6" s="121">
        <v>161</v>
      </c>
      <c r="U6" s="121">
        <v>141</v>
      </c>
      <c r="V6" s="121">
        <v>167</v>
      </c>
      <c r="W6" s="121">
        <v>137</v>
      </c>
      <c r="X6" s="121">
        <v>140</v>
      </c>
      <c r="Y6" s="121">
        <v>147</v>
      </c>
      <c r="Z6" s="121">
        <f>SUM(Z4:Z5)</f>
        <v>153</v>
      </c>
      <c r="AA6" s="121">
        <f>SUM(AA4:AA5)</f>
        <v>148</v>
      </c>
      <c r="AB6" s="122">
        <f t="shared" si="3"/>
        <v>170</v>
      </c>
      <c r="AC6" s="121">
        <f t="shared" si="0"/>
        <v>14.864864864864868</v>
      </c>
      <c r="AD6" s="121">
        <f t="shared" si="1"/>
        <v>21.42857142857142</v>
      </c>
      <c r="AF6" s="121">
        <v>444</v>
      </c>
      <c r="AG6" s="122">
        <v>471</v>
      </c>
      <c r="AH6" s="121">
        <f>IF(AND(AG6=0,AF6=0),0,IF(OR(AND(AG6&gt;0,AF6&lt;=0),AND(AG6&lt;0,AF6&gt;=0)),"nm",IF(AND(AG6&lt;0,AF6&lt;0),IF(-(AG6/AF6-1)*100&lt;-100,"(&gt;100)",-(AG6/AF6-1)*100),IF((AG6/AF6-1)*100&gt;100,"&gt;100",(AG6/AF6-1)*100))))</f>
        <v>6.0810810810810745</v>
      </c>
      <c r="AI6" s="121">
        <f aca="true" t="shared" si="4" ref="AI6:AI12">SUM(V6:W6)</f>
        <v>304</v>
      </c>
      <c r="AJ6" s="122">
        <f t="shared" si="2"/>
        <v>301</v>
      </c>
      <c r="AK6" s="121">
        <f>IF(AND(AJ6=0,AI6=0),0,IF(OR(AND(AJ6&gt;0,AI6&lt;=0),AND(AJ6&lt;0,AI6&gt;=0)),"nm",IF(AND(AJ6&lt;0,AI6&lt;0),IF(-(AJ6/AI6-1)*100&lt;-100,"(&gt;100)",-(AJ6/AI6-1)*100),IF((AJ6/AI6-1)*100&gt;100,"&gt;100",(AJ6/AI6-1)*100))))</f>
        <v>-0.9868421052631526</v>
      </c>
    </row>
    <row r="7" spans="2:37" ht="14.25">
      <c r="B7" s="101" t="s">
        <v>0</v>
      </c>
      <c r="C7" s="20"/>
      <c r="D7" s="121">
        <v>154</v>
      </c>
      <c r="E7" s="121">
        <v>172</v>
      </c>
      <c r="F7" s="121">
        <v>207</v>
      </c>
      <c r="G7" s="121">
        <v>247</v>
      </c>
      <c r="H7" s="121">
        <v>275</v>
      </c>
      <c r="J7" s="121">
        <v>41</v>
      </c>
      <c r="K7" s="121">
        <v>41</v>
      </c>
      <c r="L7" s="121">
        <v>44</v>
      </c>
      <c r="M7" s="121">
        <v>46</v>
      </c>
      <c r="N7" s="121">
        <v>53</v>
      </c>
      <c r="O7" s="121">
        <v>52</v>
      </c>
      <c r="P7" s="121">
        <v>57</v>
      </c>
      <c r="Q7" s="121">
        <v>45</v>
      </c>
      <c r="R7" s="121">
        <v>54</v>
      </c>
      <c r="S7" s="121">
        <v>58</v>
      </c>
      <c r="T7" s="121">
        <v>60</v>
      </c>
      <c r="U7" s="121">
        <v>75</v>
      </c>
      <c r="V7" s="121">
        <v>63</v>
      </c>
      <c r="W7" s="121">
        <v>63</v>
      </c>
      <c r="X7" s="121">
        <v>66</v>
      </c>
      <c r="Y7" s="121">
        <v>83</v>
      </c>
      <c r="Z7" s="121">
        <v>69</v>
      </c>
      <c r="AA7" s="121">
        <v>71</v>
      </c>
      <c r="AB7" s="122">
        <f t="shared" si="3"/>
        <v>74</v>
      </c>
      <c r="AC7" s="121">
        <f t="shared" si="0"/>
        <v>4.225352112676051</v>
      </c>
      <c r="AD7" s="121">
        <f t="shared" si="1"/>
        <v>12.12121212121211</v>
      </c>
      <c r="AF7" s="121">
        <v>192</v>
      </c>
      <c r="AG7" s="122">
        <v>214</v>
      </c>
      <c r="AH7" s="121">
        <f aca="true" t="shared" si="5" ref="AH7:AH12">IF(AND(AG7=0,AF7=0),0,IF(OR(AND(AG7&gt;0,AF7&lt;=0),AND(AG7&lt;0,AF7&gt;=0)),"nm",IF(AND(AG7&lt;0,AF7&lt;0),IF(-(AG7/AF7-1)*100&lt;-100,"(&gt;100)",-(AG7/AF7-1)*100),IF((AG7/AF7-1)*100&gt;100,"&gt;100",(AG7/AF7-1)*100))))</f>
        <v>11.458333333333325</v>
      </c>
      <c r="AI7" s="121">
        <f t="shared" si="4"/>
        <v>126</v>
      </c>
      <c r="AJ7" s="122">
        <f t="shared" si="2"/>
        <v>140</v>
      </c>
      <c r="AK7" s="121">
        <f aca="true" t="shared" si="6" ref="AK7:AK12">IF(AND(AJ7=0,AI7=0),0,IF(OR(AND(AJ7&gt;0,AI7&lt;=0),AND(AJ7&lt;0,AI7&gt;=0)),"nm",IF(AND(AJ7&lt;0,AI7&lt;0),IF(-(AJ7/AI7-1)*100&lt;-100,"(&gt;100)",-(AJ7/AI7-1)*100),IF((AJ7/AI7-1)*100&gt;100,"&gt;100",(AJ7/AI7-1)*100))))</f>
        <v>11.111111111111116</v>
      </c>
    </row>
    <row r="8" spans="2:37" ht="14.25">
      <c r="B8" s="101" t="s">
        <v>8</v>
      </c>
      <c r="C8" s="20"/>
      <c r="D8" s="121">
        <v>35</v>
      </c>
      <c r="E8" s="121">
        <v>69</v>
      </c>
      <c r="F8" s="121">
        <v>79</v>
      </c>
      <c r="G8" s="121">
        <v>39</v>
      </c>
      <c r="H8" s="121">
        <v>38</v>
      </c>
      <c r="J8" s="121">
        <v>34</v>
      </c>
      <c r="K8" s="121">
        <v>10</v>
      </c>
      <c r="L8" s="121">
        <v>10</v>
      </c>
      <c r="M8" s="121">
        <v>15</v>
      </c>
      <c r="N8" s="121">
        <v>11</v>
      </c>
      <c r="O8" s="121">
        <v>14</v>
      </c>
      <c r="P8" s="121">
        <v>41</v>
      </c>
      <c r="Q8" s="121">
        <v>13</v>
      </c>
      <c r="R8" s="121">
        <v>2</v>
      </c>
      <c r="S8" s="121">
        <v>10</v>
      </c>
      <c r="T8" s="121">
        <v>19</v>
      </c>
      <c r="U8" s="121">
        <v>8</v>
      </c>
      <c r="V8" s="121">
        <v>8</v>
      </c>
      <c r="W8" s="121">
        <v>28</v>
      </c>
      <c r="X8" s="121">
        <v>8</v>
      </c>
      <c r="Y8" s="121">
        <v>-6</v>
      </c>
      <c r="Z8" s="121">
        <v>11</v>
      </c>
      <c r="AA8" s="121">
        <v>31</v>
      </c>
      <c r="AB8" s="122">
        <f t="shared" si="3"/>
        <v>30</v>
      </c>
      <c r="AC8" s="121">
        <f t="shared" si="0"/>
        <v>-3.2258064516129004</v>
      </c>
      <c r="AD8" s="121" t="str">
        <f t="shared" si="1"/>
        <v>&gt;100</v>
      </c>
      <c r="AF8" s="121">
        <v>44</v>
      </c>
      <c r="AG8" s="122">
        <v>72</v>
      </c>
      <c r="AH8" s="121">
        <f t="shared" si="5"/>
        <v>63.63636363636365</v>
      </c>
      <c r="AI8" s="121">
        <f t="shared" si="4"/>
        <v>36</v>
      </c>
      <c r="AJ8" s="122">
        <f t="shared" si="2"/>
        <v>42</v>
      </c>
      <c r="AK8" s="121">
        <f t="shared" si="6"/>
        <v>16.666666666666675</v>
      </c>
    </row>
    <row r="9" spans="2:37" ht="14.25">
      <c r="B9" s="102" t="s">
        <v>67</v>
      </c>
      <c r="C9" s="20"/>
      <c r="D9" s="121">
        <v>40</v>
      </c>
      <c r="E9" s="121">
        <v>33</v>
      </c>
      <c r="F9" s="121">
        <v>72</v>
      </c>
      <c r="G9" s="121">
        <v>85</v>
      </c>
      <c r="H9" s="121">
        <v>99</v>
      </c>
      <c r="J9" s="121">
        <v>14</v>
      </c>
      <c r="K9" s="121">
        <v>6</v>
      </c>
      <c r="L9" s="121">
        <v>16</v>
      </c>
      <c r="M9" s="121">
        <v>-3</v>
      </c>
      <c r="N9" s="121">
        <v>15</v>
      </c>
      <c r="O9" s="121">
        <v>16</v>
      </c>
      <c r="P9" s="121">
        <v>25</v>
      </c>
      <c r="Q9" s="121">
        <v>16</v>
      </c>
      <c r="R9" s="121">
        <v>16</v>
      </c>
      <c r="S9" s="121">
        <v>21</v>
      </c>
      <c r="T9" s="121">
        <v>27</v>
      </c>
      <c r="U9" s="121">
        <v>21</v>
      </c>
      <c r="V9" s="121">
        <v>32</v>
      </c>
      <c r="W9" s="121">
        <v>27</v>
      </c>
      <c r="X9" s="121">
        <v>22</v>
      </c>
      <c r="Y9" s="121">
        <v>18</v>
      </c>
      <c r="Z9" s="121">
        <v>22</v>
      </c>
      <c r="AA9" s="121">
        <v>16</v>
      </c>
      <c r="AB9" s="122">
        <f t="shared" si="3"/>
        <v>10</v>
      </c>
      <c r="AC9" s="121">
        <f t="shared" si="0"/>
        <v>-37.5</v>
      </c>
      <c r="AD9" s="121">
        <f t="shared" si="1"/>
        <v>-54.54545454545454</v>
      </c>
      <c r="AF9" s="121">
        <v>81</v>
      </c>
      <c r="AG9" s="122">
        <v>48</v>
      </c>
      <c r="AH9" s="121">
        <f t="shared" si="5"/>
        <v>-40.74074074074075</v>
      </c>
      <c r="AI9" s="121">
        <f t="shared" si="4"/>
        <v>59</v>
      </c>
      <c r="AJ9" s="122">
        <f t="shared" si="2"/>
        <v>38</v>
      </c>
      <c r="AK9" s="121">
        <f t="shared" si="6"/>
        <v>-35.59322033898306</v>
      </c>
    </row>
    <row r="10" spans="2:37" ht="14.25">
      <c r="B10" s="102" t="s">
        <v>9</v>
      </c>
      <c r="C10" s="20"/>
      <c r="D10" s="121">
        <v>210</v>
      </c>
      <c r="E10" s="121">
        <v>293</v>
      </c>
      <c r="F10" s="121">
        <v>243</v>
      </c>
      <c r="G10" s="121">
        <v>356</v>
      </c>
      <c r="H10" s="121">
        <v>377</v>
      </c>
      <c r="J10" s="121">
        <v>94</v>
      </c>
      <c r="K10" s="121">
        <v>76</v>
      </c>
      <c r="L10" s="121">
        <v>82</v>
      </c>
      <c r="M10" s="121">
        <v>41</v>
      </c>
      <c r="N10" s="121">
        <v>82</v>
      </c>
      <c r="O10" s="121">
        <v>72</v>
      </c>
      <c r="P10" s="121">
        <v>30</v>
      </c>
      <c r="Q10" s="121">
        <v>59</v>
      </c>
      <c r="R10" s="121">
        <v>91</v>
      </c>
      <c r="S10" s="121">
        <v>77</v>
      </c>
      <c r="T10" s="121">
        <v>109</v>
      </c>
      <c r="U10" s="121">
        <v>79</v>
      </c>
      <c r="V10" s="121">
        <v>128</v>
      </c>
      <c r="W10" s="121">
        <v>73</v>
      </c>
      <c r="X10" s="121">
        <v>88</v>
      </c>
      <c r="Y10" s="121">
        <v>88</v>
      </c>
      <c r="Z10" s="121">
        <v>95</v>
      </c>
      <c r="AA10" s="121">
        <v>62</v>
      </c>
      <c r="AB10" s="122">
        <f t="shared" si="3"/>
        <v>76</v>
      </c>
      <c r="AC10" s="121">
        <f t="shared" si="0"/>
        <v>22.580645161290324</v>
      </c>
      <c r="AD10" s="121">
        <f t="shared" si="1"/>
        <v>-13.636363636363635</v>
      </c>
      <c r="AF10" s="121">
        <v>289</v>
      </c>
      <c r="AG10" s="122">
        <v>233</v>
      </c>
      <c r="AH10" s="121">
        <f t="shared" si="5"/>
        <v>-19.377162629757784</v>
      </c>
      <c r="AI10" s="121">
        <f t="shared" si="4"/>
        <v>201</v>
      </c>
      <c r="AJ10" s="122">
        <f t="shared" si="2"/>
        <v>157</v>
      </c>
      <c r="AK10" s="121">
        <f t="shared" si="6"/>
        <v>-21.890547263681594</v>
      </c>
    </row>
    <row r="11" spans="2:37" ht="14.25">
      <c r="B11" s="102" t="s">
        <v>68</v>
      </c>
      <c r="C11" s="20"/>
      <c r="D11" s="121">
        <v>58</v>
      </c>
      <c r="E11" s="121">
        <v>67</v>
      </c>
      <c r="F11" s="121">
        <v>40</v>
      </c>
      <c r="G11" s="121">
        <v>70</v>
      </c>
      <c r="H11" s="121">
        <v>84</v>
      </c>
      <c r="J11" s="121">
        <v>31</v>
      </c>
      <c r="K11" s="121">
        <v>18</v>
      </c>
      <c r="L11" s="121">
        <v>12</v>
      </c>
      <c r="M11" s="121">
        <v>6</v>
      </c>
      <c r="N11" s="121">
        <v>20</v>
      </c>
      <c r="O11" s="121">
        <v>17</v>
      </c>
      <c r="P11" s="121">
        <v>-4</v>
      </c>
      <c r="Q11" s="121">
        <v>7</v>
      </c>
      <c r="R11" s="121">
        <v>16</v>
      </c>
      <c r="S11" s="121">
        <v>15</v>
      </c>
      <c r="T11" s="121">
        <v>21</v>
      </c>
      <c r="U11" s="121">
        <v>18</v>
      </c>
      <c r="V11" s="121">
        <v>32</v>
      </c>
      <c r="W11" s="121">
        <v>14</v>
      </c>
      <c r="X11" s="121">
        <v>18</v>
      </c>
      <c r="Y11" s="121">
        <v>20</v>
      </c>
      <c r="Z11" s="121">
        <v>26</v>
      </c>
      <c r="AA11" s="121">
        <v>9</v>
      </c>
      <c r="AB11" s="122">
        <f t="shared" si="3"/>
        <v>21</v>
      </c>
      <c r="AC11" s="121" t="str">
        <f t="shared" si="0"/>
        <v>&gt;100</v>
      </c>
      <c r="AD11" s="121">
        <f t="shared" si="1"/>
        <v>16.666666666666675</v>
      </c>
      <c r="AF11" s="121">
        <v>64</v>
      </c>
      <c r="AG11" s="122">
        <v>56</v>
      </c>
      <c r="AH11" s="121">
        <f t="shared" si="5"/>
        <v>-12.5</v>
      </c>
      <c r="AI11" s="121">
        <f t="shared" si="4"/>
        <v>46</v>
      </c>
      <c r="AJ11" s="122">
        <f t="shared" si="2"/>
        <v>35</v>
      </c>
      <c r="AK11" s="121">
        <f t="shared" si="6"/>
        <v>-23.913043478260864</v>
      </c>
    </row>
    <row r="12" spans="2:37" ht="14.25">
      <c r="B12" s="102" t="s">
        <v>53</v>
      </c>
      <c r="C12" s="20"/>
      <c r="D12" s="121">
        <v>152</v>
      </c>
      <c r="E12" s="121">
        <v>226</v>
      </c>
      <c r="F12" s="121">
        <v>203</v>
      </c>
      <c r="G12" s="121">
        <v>285</v>
      </c>
      <c r="H12" s="121">
        <v>293</v>
      </c>
      <c r="J12" s="121">
        <v>63</v>
      </c>
      <c r="K12" s="121">
        <v>58</v>
      </c>
      <c r="L12" s="121">
        <v>70</v>
      </c>
      <c r="M12" s="121">
        <v>35</v>
      </c>
      <c r="N12" s="121">
        <v>62</v>
      </c>
      <c r="O12" s="121">
        <v>55</v>
      </c>
      <c r="P12" s="121">
        <v>34</v>
      </c>
      <c r="Q12" s="121">
        <v>52</v>
      </c>
      <c r="R12" s="121">
        <v>75</v>
      </c>
      <c r="S12" s="121">
        <v>62</v>
      </c>
      <c r="T12" s="121">
        <v>88</v>
      </c>
      <c r="U12" s="121">
        <v>60</v>
      </c>
      <c r="V12" s="121">
        <v>96</v>
      </c>
      <c r="W12" s="121">
        <v>59</v>
      </c>
      <c r="X12" s="121">
        <v>70</v>
      </c>
      <c r="Y12" s="121">
        <v>68</v>
      </c>
      <c r="Z12" s="121">
        <v>69</v>
      </c>
      <c r="AA12" s="121">
        <v>53</v>
      </c>
      <c r="AB12" s="122">
        <f t="shared" si="3"/>
        <v>54</v>
      </c>
      <c r="AC12" s="121">
        <f t="shared" si="0"/>
        <v>1.8867924528301883</v>
      </c>
      <c r="AD12" s="121">
        <f t="shared" si="1"/>
        <v>-22.857142857142854</v>
      </c>
      <c r="AF12" s="121">
        <v>225</v>
      </c>
      <c r="AG12" s="122">
        <v>176</v>
      </c>
      <c r="AH12" s="121">
        <f t="shared" si="5"/>
        <v>-21.777777777777775</v>
      </c>
      <c r="AI12" s="121">
        <f t="shared" si="4"/>
        <v>155</v>
      </c>
      <c r="AJ12" s="122">
        <f t="shared" si="2"/>
        <v>122</v>
      </c>
      <c r="AK12" s="121">
        <f t="shared" si="6"/>
        <v>-21.29032258064516</v>
      </c>
    </row>
    <row r="13" spans="3:36" ht="14.25">
      <c r="C13" s="20"/>
      <c r="D13" s="121"/>
      <c r="H13" s="165"/>
      <c r="Z13" s="165"/>
      <c r="AB13" s="489"/>
      <c r="AF13" s="165"/>
      <c r="AG13" s="489"/>
      <c r="AI13" s="165"/>
      <c r="AJ13" s="461"/>
    </row>
    <row r="14" spans="1:37"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7"/>
      <c r="AB14" s="498"/>
      <c r="AC14" s="17"/>
      <c r="AD14" s="17"/>
      <c r="AE14" s="17"/>
      <c r="AF14" s="169"/>
      <c r="AG14" s="498"/>
      <c r="AH14" s="17"/>
      <c r="AI14" s="169"/>
      <c r="AJ14" s="462"/>
      <c r="AK14" s="17"/>
    </row>
    <row r="15" spans="2:37" ht="14.25">
      <c r="B15" s="101" t="s">
        <v>71</v>
      </c>
      <c r="C15" s="20"/>
      <c r="D15" s="121">
        <v>5557</v>
      </c>
      <c r="E15" s="121">
        <v>8058</v>
      </c>
      <c r="F15" s="121">
        <v>9121</v>
      </c>
      <c r="G15" s="121">
        <v>10570</v>
      </c>
      <c r="H15" s="121">
        <v>9251</v>
      </c>
      <c r="J15" s="121">
        <v>7920</v>
      </c>
      <c r="K15" s="121">
        <v>8437</v>
      </c>
      <c r="L15" s="121">
        <v>8399</v>
      </c>
      <c r="M15" s="121">
        <v>8058</v>
      </c>
      <c r="N15" s="121">
        <v>7483</v>
      </c>
      <c r="O15" s="121">
        <v>8664</v>
      </c>
      <c r="P15" s="121">
        <v>9436</v>
      </c>
      <c r="Q15" s="121">
        <v>9121</v>
      </c>
      <c r="R15" s="121">
        <v>9116</v>
      </c>
      <c r="S15" s="121">
        <v>9586</v>
      </c>
      <c r="T15" s="121">
        <v>10462</v>
      </c>
      <c r="U15" s="121">
        <v>10570</v>
      </c>
      <c r="V15" s="121">
        <v>10336</v>
      </c>
      <c r="W15" s="121">
        <v>10512</v>
      </c>
      <c r="X15" s="121">
        <v>10171</v>
      </c>
      <c r="Y15" s="121">
        <v>9251</v>
      </c>
      <c r="Z15" s="121">
        <v>9158</v>
      </c>
      <c r="AA15" s="121">
        <v>9408</v>
      </c>
      <c r="AB15" s="122">
        <f>AG15</f>
        <v>8639</v>
      </c>
      <c r="AC15" s="121">
        <f>IF(AND(AB15=0,AB15=0),0,IF(OR(AND(AB15&gt;0,AA15&lt;=0),AND(AB15&lt;0,AA15&gt;=0)),"nm",IF(AND(AB15&lt;0,AA15&lt;0),IF(-(AB15/AA15-1)*100&lt;-100,"(&gt;100)",-(AB15/AA15-1)*100),IF((AB15/AA15-1)*100&gt;100,"&gt;100",(AB15/AA15-1)*100))))</f>
        <v>-8.173894557823125</v>
      </c>
      <c r="AD15" s="121">
        <f>IF(AND(AB15=0,X15=0),0,IF(OR(AND(AB15&gt;0,X15&lt;=0),AND(AB15&lt;0,X15&gt;=0)),"nm",IF(AND(AB15&lt;0,X15&lt;0),IF(-(AB15/X15-1)*100&lt;-100,"(&gt;100)",-(AB15/X15-1)*100),IF((AB15/X15-1)*100&gt;100,"&gt;100",(AB15/X15-1)*100))))</f>
        <v>-15.062432405859793</v>
      </c>
      <c r="AF15" s="121">
        <v>10171</v>
      </c>
      <c r="AG15" s="122">
        <v>8639</v>
      </c>
      <c r="AH15" s="121">
        <f>IF(AND(AG15=0,AF15=0),0,IF(OR(AND(AG15&gt;0,AF15&lt;=0),AND(AG15&lt;0,AF15&gt;=0)),"nm",IF(AND(AG15&lt;0,AF15&lt;0),IF(-(AG15/AF15-1)*100&lt;-100,"(&gt;100)",-(AG15/AF15-1)*100),IF((AG15/AF15-1)*100&gt;100,"&gt;100",(AG15/AF15-1)*100))))</f>
        <v>-15.062432405859793</v>
      </c>
      <c r="AI15" s="121">
        <f>W15</f>
        <v>10512</v>
      </c>
      <c r="AJ15" s="122">
        <f>AA15</f>
        <v>9408</v>
      </c>
      <c r="AK15" s="121">
        <f>IF(AND(AJ15=0,AI15=0),0,IF(OR(AND(AJ15&gt;0,AI15&lt;=0),AND(AJ15&lt;0,AI15&gt;=0)),"nm",IF(AND(AJ15&lt;0,AI15&lt;0),IF(-(AJ15/AI15-1)*100&lt;-100,"(&gt;100)",-(AJ15/AI15-1)*100),IF((AJ15/AI15-1)*100&gt;100,"&gt;100",(AJ15/AI15-1)*100))))</f>
        <v>-10.502283105022837</v>
      </c>
    </row>
    <row r="16" spans="2:37" ht="14.25">
      <c r="B16" s="101" t="s">
        <v>72</v>
      </c>
      <c r="C16" s="20"/>
      <c r="D16" s="121">
        <v>9889</v>
      </c>
      <c r="E16" s="121">
        <v>12743</v>
      </c>
      <c r="F16" s="121">
        <v>13710</v>
      </c>
      <c r="G16" s="121">
        <v>16224</v>
      </c>
      <c r="H16" s="121">
        <v>16860</v>
      </c>
      <c r="J16" s="121">
        <v>12898</v>
      </c>
      <c r="K16" s="121">
        <v>13243</v>
      </c>
      <c r="L16" s="121">
        <v>12676</v>
      </c>
      <c r="M16" s="121">
        <v>12743</v>
      </c>
      <c r="N16" s="121">
        <v>14313</v>
      </c>
      <c r="O16" s="121">
        <v>14344</v>
      </c>
      <c r="P16" s="121">
        <v>14115</v>
      </c>
      <c r="Q16" s="121">
        <v>13710</v>
      </c>
      <c r="R16" s="121">
        <v>14344</v>
      </c>
      <c r="S16" s="121">
        <v>15152</v>
      </c>
      <c r="T16" s="121">
        <v>16411</v>
      </c>
      <c r="U16" s="121">
        <v>16224</v>
      </c>
      <c r="V16" s="121">
        <v>17214</v>
      </c>
      <c r="W16" s="121">
        <v>17430</v>
      </c>
      <c r="X16" s="121">
        <v>17327</v>
      </c>
      <c r="Y16" s="121">
        <v>16860</v>
      </c>
      <c r="Z16" s="121">
        <v>17523</v>
      </c>
      <c r="AA16" s="121">
        <v>17579</v>
      </c>
      <c r="AB16" s="122">
        <f>AG16</f>
        <v>17046</v>
      </c>
      <c r="AC16" s="121">
        <f>IF(AND(AB16=0,AB16=0),0,IF(OR(AND(AB16&gt;0,AA16&lt;=0),AND(AB16&lt;0,AA16&gt;=0)),"nm",IF(AND(AB16&lt;0,AA16&lt;0),IF(-(AB16/AA16-1)*100&lt;-100,"(&gt;100)",-(AB16/AA16-1)*100),IF((AB16/AA16-1)*100&gt;100,"&gt;100",(AB16/AA16-1)*100))))</f>
        <v>-3.032026850219016</v>
      </c>
      <c r="AD16" s="121">
        <f>IF(AND(AB16=0,X16=0),0,IF(OR(AND(AB16&gt;0,X16&lt;=0),AND(AB16&lt;0,X16&gt;=0)),"nm",IF(AND(AB16&lt;0,X16&lt;0),IF(-(AB16/X16-1)*100&lt;-100,"(&gt;100)",-(AB16/X16-1)*100),IF((AB16/X16-1)*100&gt;100,"&gt;100",(AB16/X16-1)*100))))</f>
        <v>-1.6217464073411403</v>
      </c>
      <c r="AF16" s="121">
        <v>17327</v>
      </c>
      <c r="AG16" s="122">
        <v>17046</v>
      </c>
      <c r="AH16" s="121">
        <f>IF(AND(AG16=0,AF16=0),0,IF(OR(AND(AG16&gt;0,AF16&lt;=0),AND(AG16&lt;0,AF16&gt;=0)),"nm",IF(AND(AG16&lt;0,AF16&lt;0),IF(-(AG16/AF16-1)*100&lt;-100,"(&gt;100)",-(AG16/AF16-1)*100),IF((AG16/AF16-1)*100&gt;100,"&gt;100",(AG16/AF16-1)*100))))</f>
        <v>-1.6217464073411403</v>
      </c>
      <c r="AI16" s="121">
        <f>W16</f>
        <v>17430</v>
      </c>
      <c r="AJ16" s="122">
        <f>AA16</f>
        <v>17579</v>
      </c>
      <c r="AK16" s="121">
        <f>IF(AND(AJ16=0,AI16=0),0,IF(OR(AND(AJ16&gt;0,AI16&lt;=0),AND(AJ16&lt;0,AI16&gt;=0)),"nm",IF(AND(AJ16&lt;0,AI16&lt;0),IF(-(AJ16/AI16-1)*100&lt;-100,"(&gt;100)",-(AJ16/AI16-1)*100),IF((AJ16/AI16-1)*100&gt;100,"&gt;100",(AJ16/AI16-1)*100))))</f>
        <v>0.8548479632817019</v>
      </c>
    </row>
    <row r="17" spans="2:37" ht="14.25">
      <c r="B17" s="101" t="s">
        <v>10</v>
      </c>
      <c r="C17" s="20"/>
      <c r="D17" s="121">
        <v>9889</v>
      </c>
      <c r="E17" s="121">
        <v>12743</v>
      </c>
      <c r="F17" s="121">
        <v>13710</v>
      </c>
      <c r="G17" s="121">
        <v>16224</v>
      </c>
      <c r="H17" s="121">
        <v>16860</v>
      </c>
      <c r="J17" s="121">
        <v>12898</v>
      </c>
      <c r="K17" s="121">
        <v>13243</v>
      </c>
      <c r="L17" s="121">
        <v>12676</v>
      </c>
      <c r="M17" s="121">
        <v>12743</v>
      </c>
      <c r="N17" s="121">
        <v>14313</v>
      </c>
      <c r="O17" s="121">
        <v>14344</v>
      </c>
      <c r="P17" s="121">
        <v>14115</v>
      </c>
      <c r="Q17" s="121">
        <v>13710</v>
      </c>
      <c r="R17" s="121">
        <v>14344</v>
      </c>
      <c r="S17" s="121">
        <v>15152</v>
      </c>
      <c r="T17" s="121">
        <v>16411</v>
      </c>
      <c r="U17" s="121">
        <v>16224</v>
      </c>
      <c r="V17" s="121">
        <v>17214</v>
      </c>
      <c r="W17" s="121">
        <v>17430</v>
      </c>
      <c r="X17" s="121">
        <v>17327</v>
      </c>
      <c r="Y17" s="121">
        <v>16860</v>
      </c>
      <c r="Z17" s="121">
        <f>Z16</f>
        <v>17523</v>
      </c>
      <c r="AA17" s="121">
        <f>AA16</f>
        <v>17579</v>
      </c>
      <c r="AB17" s="122">
        <f>AG17</f>
        <v>17046</v>
      </c>
      <c r="AC17" s="121">
        <f>IF(AND(AB17=0,AB17=0),0,IF(OR(AND(AB17&gt;0,AA17&lt;=0),AND(AB17&lt;0,AA17&gt;=0)),"nm",IF(AND(AB17&lt;0,AA17&lt;0),IF(-(AB17/AA17-1)*100&lt;-100,"(&gt;100)",-(AB17/AA17-1)*100),IF((AB17/AA17-1)*100&gt;100,"&gt;100",(AB17/AA17-1)*100))))</f>
        <v>-3.032026850219016</v>
      </c>
      <c r="AD17" s="121">
        <f>IF(AND(AB17=0,X17=0),0,IF(OR(AND(AB17&gt;0,X17&lt;=0),AND(AB17&lt;0,X17&gt;=0)),"nm",IF(AND(AB17&lt;0,X17&lt;0),IF(-(AB17/X17-1)*100&lt;-100,"(&gt;100)",-(AB17/X17-1)*100),IF((AB17/X17-1)*100&gt;100,"&gt;100",(AB17/X17-1)*100))))</f>
        <v>-1.6217464073411403</v>
      </c>
      <c r="AF17" s="121">
        <v>17327</v>
      </c>
      <c r="AG17" s="122">
        <v>17046</v>
      </c>
      <c r="AH17" s="121">
        <f>IF(AND(AG17=0,AF17=0),0,IF(OR(AND(AG17&gt;0,AF17&lt;=0),AND(AG17&lt;0,AF17&gt;=0)),"nm",IF(AND(AG17&lt;0,AF17&lt;0),IF(-(AG17/AF17-1)*100&lt;-100,"(&gt;100)",-(AG17/AF17-1)*100),IF((AG17/AF17-1)*100&gt;100,"&gt;100",(AG17/AF17-1)*100))))</f>
        <v>-1.6217464073411403</v>
      </c>
      <c r="AI17" s="121">
        <f>W17</f>
        <v>17430</v>
      </c>
      <c r="AJ17" s="122">
        <f>AA17</f>
        <v>17579</v>
      </c>
      <c r="AK17" s="121">
        <f>IF(AND(AJ17=0,AI17=0),0,IF(OR(AND(AJ17&gt;0,AI17&lt;=0),AND(AJ17&lt;0,AI17&gt;=0)),"nm",IF(AND(AJ17&lt;0,AI17&lt;0),IF(-(AJ17/AI17-1)*100&lt;-100,"(&gt;100)",-(AJ17/AI17-1)*100),IF((AJ17/AI17-1)*100&gt;100,"&gt;100",(AJ17/AI17-1)*100))))</f>
        <v>0.8548479632817019</v>
      </c>
    </row>
    <row r="18" spans="8:36" ht="14.25">
      <c r="H18" s="171"/>
      <c r="Z18" s="355"/>
      <c r="AB18" s="489"/>
      <c r="AF18" s="165"/>
      <c r="AG18" s="489"/>
      <c r="AI18" s="165"/>
      <c r="AJ18" s="461"/>
    </row>
    <row r="19" spans="4:33" ht="14.25">
      <c r="D19" s="121"/>
      <c r="H19" s="171"/>
      <c r="Z19" s="355"/>
      <c r="AB19" s="489"/>
      <c r="AG19" s="489"/>
    </row>
    <row r="20" spans="4:28" ht="14.25">
      <c r="D20" s="121"/>
      <c r="H20" s="171"/>
      <c r="Z20" s="355"/>
      <c r="AA20" s="355"/>
      <c r="AB20" s="489"/>
    </row>
    <row r="21" spans="26:28" ht="14.25">
      <c r="Z21" s="355"/>
      <c r="AA21" s="355"/>
      <c r="AB21" s="489"/>
    </row>
    <row r="22" spans="26:28" ht="14.25">
      <c r="Z22" s="355"/>
      <c r="AA22" s="355"/>
      <c r="AB22" s="489"/>
    </row>
    <row r="23" spans="26:28" ht="14.25">
      <c r="Z23" s="355"/>
      <c r="AA23" s="355"/>
      <c r="AB23" s="352"/>
    </row>
    <row r="24" spans="26:28" ht="14.25">
      <c r="Z24" s="355"/>
      <c r="AA24" s="355"/>
      <c r="AB24" s="352"/>
    </row>
    <row r="25" spans="26:28" ht="14.25">
      <c r="Z25" s="355"/>
      <c r="AA25" s="355"/>
      <c r="AB25" s="352"/>
    </row>
    <row r="26" spans="26:28" ht="14.25">
      <c r="Z26" s="355"/>
      <c r="AA26" s="355"/>
      <c r="AB26" s="352"/>
    </row>
    <row r="27" spans="26:28" ht="14.25">
      <c r="Z27" s="355"/>
      <c r="AA27" s="355"/>
      <c r="AB27" s="352"/>
    </row>
    <row r="28" spans="26:28" ht="14.25">
      <c r="Z28" s="355"/>
      <c r="AA28" s="355"/>
      <c r="AB28" s="352"/>
    </row>
    <row r="29" spans="26:28" ht="14.25">
      <c r="Z29" s="355"/>
      <c r="AA29" s="355"/>
      <c r="AB29" s="352"/>
    </row>
    <row r="30" spans="26:28" ht="14.25">
      <c r="Z30" s="355"/>
      <c r="AA30" s="355"/>
      <c r="AB30" s="352"/>
    </row>
    <row r="31" spans="26:28" ht="14.25">
      <c r="Z31" s="355"/>
      <c r="AA31" s="355"/>
      <c r="AB31" s="352"/>
    </row>
    <row r="32" spans="26:28" ht="14.25">
      <c r="Z32" s="355"/>
      <c r="AA32" s="355"/>
      <c r="AB32" s="352"/>
    </row>
  </sheetData>
  <sheetProtection/>
  <mergeCells count="1">
    <mergeCell ref="A2:C2"/>
  </mergeCells>
  <hyperlinks>
    <hyperlink ref="A2" location="Index!A1" display="Back to Index"/>
  </hyperlinks>
  <printOptions/>
  <pageMargins left="0.33" right="0.27" top="1" bottom="1" header="0.5" footer="0.5"/>
  <pageSetup fitToHeight="1" fitToWidth="1" horizontalDpi="600" verticalDpi="600" orientation="portrait" scale="86" r:id="rId1"/>
  <headerFooter alignWithMargins="0">
    <oddFooter>&amp;L&amp;Z&amp;F&amp;A&amp;R&amp;D&amp;T</oddFooter>
  </headerFooter>
  <ignoredErrors>
    <ignoredError sqref="AI4:AJ19" formulaRange="1"/>
  </ignoredErrors>
</worksheet>
</file>

<file path=xl/worksheets/sheet24.xml><?xml version="1.0" encoding="utf-8"?>
<worksheet xmlns="http://schemas.openxmlformats.org/spreadsheetml/2006/main" xmlns:r="http://schemas.openxmlformats.org/officeDocument/2006/relationships">
  <sheetPr>
    <tabColor indexed="18"/>
    <pageSetUpPr fitToPage="1"/>
  </sheetPr>
  <dimension ref="A1:AK24"/>
  <sheetViews>
    <sheetView zoomScale="80" zoomScaleNormal="80" zoomScalePageLayoutView="0" workbookViewId="0" topLeftCell="A1">
      <pane xSplit="3" ySplit="2" topLeftCell="D3" activePane="bottomRight" state="frozen"/>
      <selection pane="topLeft" activeCell="AA19" sqref="AA19"/>
      <selection pane="topRight" activeCell="AA19" sqref="AA19"/>
      <selection pane="bottomLeft" activeCell="AA19" sqref="AA19"/>
      <selection pane="bottomRight" activeCell="C27" sqref="C27"/>
    </sheetView>
  </sheetViews>
  <sheetFormatPr defaultColWidth="9.140625" defaultRowHeight="12.75" outlineLevelCol="1"/>
  <cols>
    <col min="1" max="1" width="4.00390625" style="20" customWidth="1"/>
    <col min="2" max="2" width="4.28125" style="20" customWidth="1"/>
    <col min="3" max="3" width="31.710937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7" width="9.28125" style="121" customWidth="1"/>
    <col min="28" max="28" width="9.28125" style="122" customWidth="1"/>
    <col min="29" max="30" width="6.57421875" style="121" bestFit="1" customWidth="1"/>
    <col min="31" max="31" width="3.421875" style="121" customWidth="1"/>
    <col min="32" max="32" width="8.57421875" style="121" customWidth="1"/>
    <col min="33" max="33" width="10.00390625" style="122" customWidth="1"/>
    <col min="34" max="34" width="10.7109375" style="121" customWidth="1"/>
    <col min="35" max="35" width="8.57421875" style="121" hidden="1" customWidth="1"/>
    <col min="36" max="36" width="10.00390625" style="122" hidden="1" customWidth="1"/>
    <col min="37" max="37" width="10.7109375" style="121" hidden="1" customWidth="1"/>
    <col min="38" max="16384" width="9.140625" style="20" customWidth="1"/>
  </cols>
  <sheetData>
    <row r="1" spans="1:37" s="42" customFormat="1" ht="20.25">
      <c r="A1" s="41" t="s">
        <v>77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+'22.SSEA'!AC2</f>
        <v>3Q13
vs 
2Q13</v>
      </c>
      <c r="AD2" s="285" t="str">
        <f>+'22.SSEA'!AD2</f>
        <v>3Q13
vs 
3Q12</v>
      </c>
      <c r="AF2" s="74" t="s">
        <v>442</v>
      </c>
      <c r="AG2" s="74" t="s">
        <v>443</v>
      </c>
      <c r="AH2" s="285" t="s">
        <v>444</v>
      </c>
      <c r="AI2" s="285" t="str">
        <f>+'22.SSEA'!AI2</f>
        <v>9M12</v>
      </c>
      <c r="AJ2" s="285" t="str">
        <f>+'22.SSEA'!AJ2</f>
        <v>9M13</v>
      </c>
      <c r="AK2" s="285" t="str">
        <f>+'22.SSEA'!AK2</f>
        <v>9M13
vs 
9M12</v>
      </c>
    </row>
    <row r="3" spans="1:37"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54"/>
      <c r="AA3" s="354"/>
      <c r="AB3" s="125"/>
      <c r="AC3" s="17"/>
      <c r="AD3" s="17"/>
      <c r="AE3" s="17"/>
      <c r="AF3" s="17"/>
      <c r="AG3" s="353"/>
      <c r="AH3" s="17"/>
      <c r="AI3" s="17"/>
      <c r="AJ3" s="144"/>
      <c r="AK3" s="17"/>
    </row>
    <row r="4" spans="2:37" ht="14.25">
      <c r="B4" s="101" t="s">
        <v>5</v>
      </c>
      <c r="C4" s="20"/>
      <c r="D4" s="121">
        <v>131</v>
      </c>
      <c r="E4" s="121">
        <v>201</v>
      </c>
      <c r="F4" s="121">
        <v>242</v>
      </c>
      <c r="G4" s="121">
        <v>219</v>
      </c>
      <c r="H4" s="121">
        <v>229</v>
      </c>
      <c r="J4" s="121">
        <v>44</v>
      </c>
      <c r="K4" s="121">
        <v>53</v>
      </c>
      <c r="L4" s="121">
        <v>51</v>
      </c>
      <c r="M4" s="121">
        <v>53</v>
      </c>
      <c r="N4" s="121">
        <v>54</v>
      </c>
      <c r="O4" s="121">
        <v>77</v>
      </c>
      <c r="P4" s="121">
        <v>57</v>
      </c>
      <c r="Q4" s="121">
        <v>54</v>
      </c>
      <c r="R4" s="121">
        <v>54</v>
      </c>
      <c r="S4" s="121">
        <v>57</v>
      </c>
      <c r="T4" s="121">
        <v>57</v>
      </c>
      <c r="U4" s="121">
        <v>51</v>
      </c>
      <c r="V4" s="121">
        <v>54</v>
      </c>
      <c r="W4" s="121">
        <v>58</v>
      </c>
      <c r="X4" s="121">
        <v>63</v>
      </c>
      <c r="Y4" s="121">
        <v>54</v>
      </c>
      <c r="Z4" s="121">
        <v>51</v>
      </c>
      <c r="AA4" s="121">
        <v>53</v>
      </c>
      <c r="AB4" s="122">
        <f>AG4-Z4-AA4</f>
        <v>50</v>
      </c>
      <c r="AC4" s="121">
        <f aca="true" t="shared" si="0" ref="AC4:AC12">IF(AND(AB4=0,AB4=0),0,IF(OR(AND(AB4&gt;0,AA4&lt;=0),AND(AB4&lt;0,AA4&gt;=0)),"nm",IF(AND(AB4&lt;0,AA4&lt;0),IF(-(AB4/AA4-1)*100&lt;-100,"(&gt;100)",-(AB4/AA4-1)*100),IF((AB4/AA4-1)*100&gt;100,"&gt;100",(AB4/AA4-1)*100))))</f>
        <v>-5.660377358490565</v>
      </c>
      <c r="AD4" s="121">
        <f aca="true" t="shared" si="1" ref="AD4:AD12">IF(AND(AB4=0,X4=0),0,IF(OR(AND(AB4&gt;0,X4&lt;=0),AND(AB4&lt;0,X4&gt;=0)),"nm",IF(AND(AB4&lt;0,X4&lt;0),IF(-(AB4/X4-1)*100&lt;-100,"(&gt;100)",-(AB4/X4-1)*100),IF((AB4/X4-1)*100&gt;100,"&gt;100",(AB4/X4-1)*100))))</f>
        <v>-20.63492063492064</v>
      </c>
      <c r="AF4" s="121">
        <v>175</v>
      </c>
      <c r="AG4" s="122">
        <v>154</v>
      </c>
      <c r="AH4" s="121">
        <f>IF(AND(AG4=0,AF4=0),0,IF(OR(AND(AG4&gt;0,AF4&lt;=0),AND(AG4&lt;0,AF4&gt;=0)),"nm",IF(AND(AG4&lt;0,AF4&lt;0),IF(-(AG4/AF4-1)*100&lt;-100,"(&gt;100)",-(AG4/AF4-1)*100),IF((AG4/AF4-1)*100&gt;100,"&gt;100",(AG4/AF4-1)*100))))</f>
        <v>-12</v>
      </c>
      <c r="AI4" s="121">
        <f>SUM(V4:W4)</f>
        <v>112</v>
      </c>
      <c r="AJ4" s="122">
        <f>SUM(Z4:AA4)</f>
        <v>104</v>
      </c>
      <c r="AK4" s="121">
        <f>IF(AND(AJ4=0,AI4=0),0,IF(OR(AND(AJ4&gt;0,AI4&lt;=0),AND(AJ4&lt;0,AI4&gt;=0)),"nm",IF(AND(AJ4&lt;0,AI4&lt;0),IF(-(AJ4/AI4-1)*100&lt;-100,"(&gt;100)",-(AJ4/AI4-1)*100),IF((AJ4/AI4-1)*100&gt;100,"&gt;100",(AJ4/AI4-1)*100))))</f>
        <v>-7.14285714285714</v>
      </c>
    </row>
    <row r="5" spans="2:37" ht="14.25">
      <c r="B5" s="101" t="s">
        <v>25</v>
      </c>
      <c r="C5" s="20"/>
      <c r="D5" s="121">
        <v>79</v>
      </c>
      <c r="E5" s="121">
        <v>135</v>
      </c>
      <c r="F5" s="121">
        <v>50</v>
      </c>
      <c r="G5" s="121">
        <v>71</v>
      </c>
      <c r="H5" s="121">
        <v>83</v>
      </c>
      <c r="J5" s="121">
        <v>36</v>
      </c>
      <c r="K5" s="121">
        <v>29</v>
      </c>
      <c r="L5" s="121">
        <v>40</v>
      </c>
      <c r="M5" s="121">
        <v>30</v>
      </c>
      <c r="N5" s="121">
        <v>28</v>
      </c>
      <c r="O5" s="121">
        <v>-7</v>
      </c>
      <c r="P5" s="121">
        <v>17</v>
      </c>
      <c r="Q5" s="121">
        <v>12</v>
      </c>
      <c r="R5" s="121">
        <v>27</v>
      </c>
      <c r="S5" s="121">
        <v>10</v>
      </c>
      <c r="T5" s="121">
        <v>3</v>
      </c>
      <c r="U5" s="121">
        <v>31</v>
      </c>
      <c r="V5" s="121">
        <v>33</v>
      </c>
      <c r="W5" s="121">
        <v>12</v>
      </c>
      <c r="X5" s="121">
        <v>10</v>
      </c>
      <c r="Y5" s="121">
        <v>28</v>
      </c>
      <c r="Z5" s="121">
        <v>20</v>
      </c>
      <c r="AA5" s="121">
        <v>31</v>
      </c>
      <c r="AB5" s="122">
        <f aca="true" t="shared" si="2" ref="AB5:AB12">AG5-Z5-AA5</f>
        <v>31</v>
      </c>
      <c r="AC5" s="121">
        <f t="shared" si="0"/>
        <v>0</v>
      </c>
      <c r="AD5" s="121" t="str">
        <f t="shared" si="1"/>
        <v>&gt;100</v>
      </c>
      <c r="AF5" s="121">
        <v>55</v>
      </c>
      <c r="AG5" s="122">
        <v>82</v>
      </c>
      <c r="AH5" s="121">
        <f>IF(AND(AG5=0,AF5=0),0,IF(OR(AND(AG5&gt;0,AF5&lt;=0),AND(AG5&lt;0,AF5&gt;=0)),"nm",IF(AND(AG5&lt;0,AF5&lt;0),IF(-(AG5/AF5-1)*100&lt;-100,"(&gt;100)",-(AG5/AF5-1)*100),IF((AG5/AF5-1)*100&gt;100,"&gt;100",(AG5/AF5-1)*100))))</f>
        <v>49.09090909090909</v>
      </c>
      <c r="AI5" s="121">
        <f aca="true" t="shared" si="3" ref="AI5:AI12">SUM(V5:W5)</f>
        <v>45</v>
      </c>
      <c r="AJ5" s="122">
        <f aca="true" t="shared" si="4" ref="AJ5:AJ12">SUM(Z5:AA5)</f>
        <v>51</v>
      </c>
      <c r="AK5" s="121">
        <f>IF(AND(AJ5=0,AI5=0),0,IF(OR(AND(AJ5&gt;0,AI5&lt;=0),AND(AJ5&lt;0,AI5&gt;=0)),"nm",IF(AND(AJ5&lt;0,AI5&lt;0),IF(-(AJ5/AI5-1)*100&lt;-100,"(&gt;100)",-(AJ5/AI5-1)*100),IF((AJ5/AI5-1)*100&gt;100,"&gt;100",(AJ5/AI5-1)*100))))</f>
        <v>13.33333333333333</v>
      </c>
    </row>
    <row r="6" spans="2:37" ht="14.25">
      <c r="B6" s="101" t="s">
        <v>6</v>
      </c>
      <c r="C6" s="20"/>
      <c r="D6" s="121">
        <v>210</v>
      </c>
      <c r="E6" s="121">
        <v>336</v>
      </c>
      <c r="F6" s="121">
        <v>292</v>
      </c>
      <c r="G6" s="121">
        <v>290</v>
      </c>
      <c r="H6" s="121">
        <v>312</v>
      </c>
      <c r="J6" s="121">
        <v>80</v>
      </c>
      <c r="K6" s="121">
        <v>82</v>
      </c>
      <c r="L6" s="121">
        <v>91</v>
      </c>
      <c r="M6" s="121">
        <v>83</v>
      </c>
      <c r="N6" s="121">
        <v>82</v>
      </c>
      <c r="O6" s="121">
        <v>70</v>
      </c>
      <c r="P6" s="121">
        <v>74</v>
      </c>
      <c r="Q6" s="121">
        <v>66</v>
      </c>
      <c r="R6" s="121">
        <v>81</v>
      </c>
      <c r="S6" s="121">
        <v>67</v>
      </c>
      <c r="T6" s="121">
        <v>60</v>
      </c>
      <c r="U6" s="121">
        <v>82</v>
      </c>
      <c r="V6" s="121">
        <v>87</v>
      </c>
      <c r="W6" s="121">
        <v>70</v>
      </c>
      <c r="X6" s="121">
        <v>73</v>
      </c>
      <c r="Y6" s="121">
        <v>82</v>
      </c>
      <c r="Z6" s="121">
        <f>SUM(Z4:Z5)</f>
        <v>71</v>
      </c>
      <c r="AA6" s="121">
        <f>SUM(AA4:AA5)</f>
        <v>84</v>
      </c>
      <c r="AB6" s="122">
        <f t="shared" si="2"/>
        <v>81</v>
      </c>
      <c r="AC6" s="121">
        <f t="shared" si="0"/>
        <v>-3.57142857142857</v>
      </c>
      <c r="AD6" s="121">
        <f t="shared" si="1"/>
        <v>10.95890410958904</v>
      </c>
      <c r="AF6" s="121">
        <v>230</v>
      </c>
      <c r="AG6" s="122">
        <v>236</v>
      </c>
      <c r="AH6" s="121">
        <f aca="true" t="shared" si="5" ref="AH6:AH12">IF(AND(AG6=0,AF6=0),0,IF(OR(AND(AG6&gt;0,AF6&lt;=0),AND(AG6&lt;0,AF6&gt;=0)),"nm",IF(AND(AG6&lt;0,AF6&lt;0),IF(-(AG6/AF6-1)*100&lt;-100,"(&gt;100)",-(AG6/AF6-1)*100),IF((AG6/AF6-1)*100&gt;100,"&gt;100",(AG6/AF6-1)*100))))</f>
        <v>2.60869565217392</v>
      </c>
      <c r="AI6" s="121">
        <f t="shared" si="3"/>
        <v>157</v>
      </c>
      <c r="AJ6" s="122">
        <f t="shared" si="4"/>
        <v>155</v>
      </c>
      <c r="AK6" s="121">
        <f aca="true" t="shared" si="6" ref="AK6:AK12">IF(AND(AJ6=0,AI6=0),0,IF(OR(AND(AJ6&gt;0,AI6&lt;=0),AND(AJ6&lt;0,AI6&gt;=0)),"nm",IF(AND(AJ6&lt;0,AI6&lt;0),IF(-(AJ6/AI6-1)*100&lt;-100,"(&gt;100)",-(AJ6/AI6-1)*100),IF((AJ6/AI6-1)*100&gt;100,"&gt;100",(AJ6/AI6-1)*100))))</f>
        <v>-1.273885350318471</v>
      </c>
    </row>
    <row r="7" spans="2:37" ht="14.25">
      <c r="B7" s="101" t="s">
        <v>0</v>
      </c>
      <c r="C7" s="20"/>
      <c r="D7" s="121">
        <v>63</v>
      </c>
      <c r="E7" s="121">
        <v>50</v>
      </c>
      <c r="F7" s="121">
        <v>62</v>
      </c>
      <c r="G7" s="121">
        <v>65</v>
      </c>
      <c r="H7" s="121">
        <v>75</v>
      </c>
      <c r="J7" s="121">
        <v>12</v>
      </c>
      <c r="K7" s="121">
        <v>16</v>
      </c>
      <c r="L7" s="121">
        <v>13</v>
      </c>
      <c r="M7" s="121">
        <v>9</v>
      </c>
      <c r="N7" s="121">
        <v>14</v>
      </c>
      <c r="O7" s="121">
        <v>15</v>
      </c>
      <c r="P7" s="121">
        <v>18</v>
      </c>
      <c r="Q7" s="121">
        <v>15</v>
      </c>
      <c r="R7" s="121">
        <v>15</v>
      </c>
      <c r="S7" s="121">
        <v>16</v>
      </c>
      <c r="T7" s="121">
        <v>16</v>
      </c>
      <c r="U7" s="121">
        <v>18</v>
      </c>
      <c r="V7" s="121">
        <v>18</v>
      </c>
      <c r="W7" s="121">
        <v>19</v>
      </c>
      <c r="X7" s="121">
        <v>16</v>
      </c>
      <c r="Y7" s="121">
        <v>22</v>
      </c>
      <c r="Z7" s="121">
        <v>18</v>
      </c>
      <c r="AA7" s="121">
        <v>22</v>
      </c>
      <c r="AB7" s="122">
        <f t="shared" si="2"/>
        <v>21</v>
      </c>
      <c r="AC7" s="121">
        <f t="shared" si="0"/>
        <v>-4.545454545454541</v>
      </c>
      <c r="AD7" s="121">
        <f t="shared" si="1"/>
        <v>31.25</v>
      </c>
      <c r="AF7" s="121">
        <v>53</v>
      </c>
      <c r="AG7" s="122">
        <v>61</v>
      </c>
      <c r="AH7" s="121">
        <f t="shared" si="5"/>
        <v>15.094339622641506</v>
      </c>
      <c r="AI7" s="121">
        <f>SUM(V7:W7)</f>
        <v>37</v>
      </c>
      <c r="AJ7" s="122">
        <f t="shared" si="4"/>
        <v>40</v>
      </c>
      <c r="AK7" s="121">
        <f t="shared" si="6"/>
        <v>8.108108108108114</v>
      </c>
    </row>
    <row r="8" spans="2:37" ht="14.25">
      <c r="B8" s="101" t="s">
        <v>8</v>
      </c>
      <c r="C8" s="20"/>
      <c r="D8" s="121">
        <v>21</v>
      </c>
      <c r="E8" s="121">
        <v>142</v>
      </c>
      <c r="F8" s="121">
        <v>55</v>
      </c>
      <c r="G8" s="121">
        <v>42</v>
      </c>
      <c r="H8" s="121">
        <v>16</v>
      </c>
      <c r="J8" s="121">
        <v>54</v>
      </c>
      <c r="K8" s="121">
        <v>0</v>
      </c>
      <c r="L8" s="121">
        <v>0</v>
      </c>
      <c r="M8" s="121">
        <v>88</v>
      </c>
      <c r="N8" s="121">
        <v>53</v>
      </c>
      <c r="O8" s="121">
        <v>-8</v>
      </c>
      <c r="P8" s="121">
        <v>0</v>
      </c>
      <c r="Q8" s="121">
        <v>10</v>
      </c>
      <c r="R8" s="121">
        <v>3</v>
      </c>
      <c r="S8" s="121">
        <v>8</v>
      </c>
      <c r="T8" s="121">
        <v>23</v>
      </c>
      <c r="U8" s="121">
        <v>8</v>
      </c>
      <c r="V8" s="121">
        <v>10</v>
      </c>
      <c r="W8" s="121">
        <v>-10</v>
      </c>
      <c r="X8" s="121">
        <v>-10</v>
      </c>
      <c r="Y8" s="121">
        <v>26</v>
      </c>
      <c r="Z8" s="121">
        <v>67</v>
      </c>
      <c r="AA8" s="121">
        <v>11</v>
      </c>
      <c r="AB8" s="122">
        <f t="shared" si="2"/>
        <v>15</v>
      </c>
      <c r="AC8" s="121">
        <f t="shared" si="0"/>
        <v>36.36363636363635</v>
      </c>
      <c r="AD8" s="121" t="str">
        <f t="shared" si="1"/>
        <v>nm</v>
      </c>
      <c r="AF8" s="121">
        <v>-10</v>
      </c>
      <c r="AG8" s="122">
        <v>93</v>
      </c>
      <c r="AH8" s="121" t="str">
        <f t="shared" si="5"/>
        <v>nm</v>
      </c>
      <c r="AI8" s="121">
        <f t="shared" si="3"/>
        <v>0</v>
      </c>
      <c r="AJ8" s="122">
        <f t="shared" si="4"/>
        <v>78</v>
      </c>
      <c r="AK8" s="121" t="str">
        <f t="shared" si="6"/>
        <v>nm</v>
      </c>
    </row>
    <row r="9" spans="2:37"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2">
        <f t="shared" si="2"/>
        <v>0</v>
      </c>
      <c r="AC9" s="121">
        <f t="shared" si="0"/>
        <v>0</v>
      </c>
      <c r="AD9" s="121">
        <f t="shared" si="1"/>
        <v>0</v>
      </c>
      <c r="AF9" s="121">
        <v>0</v>
      </c>
      <c r="AG9" s="122">
        <v>0</v>
      </c>
      <c r="AH9" s="121">
        <f t="shared" si="5"/>
        <v>0</v>
      </c>
      <c r="AI9" s="121">
        <f t="shared" si="3"/>
        <v>0</v>
      </c>
      <c r="AJ9" s="122">
        <f t="shared" si="4"/>
        <v>0</v>
      </c>
      <c r="AK9" s="121">
        <f t="shared" si="6"/>
        <v>0</v>
      </c>
    </row>
    <row r="10" spans="2:37" ht="14.25">
      <c r="B10" s="102" t="s">
        <v>9</v>
      </c>
      <c r="C10" s="20"/>
      <c r="D10" s="121">
        <v>126</v>
      </c>
      <c r="E10" s="121">
        <v>144</v>
      </c>
      <c r="F10" s="121">
        <v>175</v>
      </c>
      <c r="G10" s="121">
        <v>183</v>
      </c>
      <c r="H10" s="121">
        <v>221</v>
      </c>
      <c r="J10" s="121">
        <v>14</v>
      </c>
      <c r="K10" s="121">
        <v>66</v>
      </c>
      <c r="L10" s="121">
        <v>78</v>
      </c>
      <c r="M10" s="121">
        <v>-14</v>
      </c>
      <c r="N10" s="121">
        <v>15</v>
      </c>
      <c r="O10" s="121">
        <v>63</v>
      </c>
      <c r="P10" s="121">
        <v>56</v>
      </c>
      <c r="Q10" s="121">
        <v>41</v>
      </c>
      <c r="R10" s="121">
        <v>63</v>
      </c>
      <c r="S10" s="121">
        <v>43</v>
      </c>
      <c r="T10" s="121">
        <v>21</v>
      </c>
      <c r="U10" s="121">
        <v>56</v>
      </c>
      <c r="V10" s="121">
        <v>59</v>
      </c>
      <c r="W10" s="121">
        <v>61</v>
      </c>
      <c r="X10" s="121">
        <v>67</v>
      </c>
      <c r="Y10" s="121">
        <v>34</v>
      </c>
      <c r="Z10" s="121">
        <v>-14</v>
      </c>
      <c r="AA10" s="121">
        <v>51</v>
      </c>
      <c r="AB10" s="122">
        <f t="shared" si="2"/>
        <v>45</v>
      </c>
      <c r="AC10" s="121">
        <f t="shared" si="0"/>
        <v>-11.764705882352944</v>
      </c>
      <c r="AD10" s="121">
        <f t="shared" si="1"/>
        <v>-32.83582089552238</v>
      </c>
      <c r="AF10" s="121">
        <v>187</v>
      </c>
      <c r="AG10" s="122">
        <v>82</v>
      </c>
      <c r="AH10" s="121">
        <f t="shared" si="5"/>
        <v>-56.14973262032086</v>
      </c>
      <c r="AI10" s="121">
        <f t="shared" si="3"/>
        <v>120</v>
      </c>
      <c r="AJ10" s="122">
        <f t="shared" si="4"/>
        <v>37</v>
      </c>
      <c r="AK10" s="121">
        <f t="shared" si="6"/>
        <v>-69.16666666666667</v>
      </c>
    </row>
    <row r="11" spans="2:37" ht="14.25">
      <c r="B11" s="102" t="s">
        <v>68</v>
      </c>
      <c r="C11" s="20"/>
      <c r="D11" s="121">
        <v>60</v>
      </c>
      <c r="E11" s="121">
        <v>24</v>
      </c>
      <c r="F11" s="121">
        <v>42</v>
      </c>
      <c r="G11" s="121">
        <v>59</v>
      </c>
      <c r="H11" s="121">
        <v>60</v>
      </c>
      <c r="J11" s="121">
        <v>13</v>
      </c>
      <c r="K11" s="121">
        <v>16</v>
      </c>
      <c r="L11" s="121">
        <v>17</v>
      </c>
      <c r="M11" s="121">
        <v>-22</v>
      </c>
      <c r="N11" s="121">
        <v>4</v>
      </c>
      <c r="O11" s="121">
        <v>15</v>
      </c>
      <c r="P11" s="121">
        <v>8</v>
      </c>
      <c r="Q11" s="121">
        <v>15</v>
      </c>
      <c r="R11" s="121">
        <v>16</v>
      </c>
      <c r="S11" s="121">
        <v>15</v>
      </c>
      <c r="T11" s="121">
        <v>7</v>
      </c>
      <c r="U11" s="121">
        <v>21</v>
      </c>
      <c r="V11" s="121">
        <v>14</v>
      </c>
      <c r="W11" s="121">
        <v>16</v>
      </c>
      <c r="X11" s="121">
        <v>14</v>
      </c>
      <c r="Y11" s="121">
        <v>16</v>
      </c>
      <c r="Z11" s="121">
        <v>5</v>
      </c>
      <c r="AA11" s="121">
        <v>2</v>
      </c>
      <c r="AB11" s="122">
        <f t="shared" si="2"/>
        <v>15</v>
      </c>
      <c r="AC11" s="121" t="str">
        <f t="shared" si="0"/>
        <v>&gt;100</v>
      </c>
      <c r="AD11" s="121">
        <f t="shared" si="1"/>
        <v>7.14285714285714</v>
      </c>
      <c r="AF11" s="121">
        <v>44</v>
      </c>
      <c r="AG11" s="122">
        <v>22</v>
      </c>
      <c r="AH11" s="121">
        <f t="shared" si="5"/>
        <v>-50</v>
      </c>
      <c r="AI11" s="121">
        <f t="shared" si="3"/>
        <v>30</v>
      </c>
      <c r="AJ11" s="122">
        <f t="shared" si="4"/>
        <v>7</v>
      </c>
      <c r="AK11" s="121">
        <f t="shared" si="6"/>
        <v>-76.66666666666666</v>
      </c>
    </row>
    <row r="12" spans="2:37" ht="14.25">
      <c r="B12" s="102" t="s">
        <v>53</v>
      </c>
      <c r="C12" s="20"/>
      <c r="D12" s="121">
        <v>66</v>
      </c>
      <c r="E12" s="121">
        <v>120</v>
      </c>
      <c r="F12" s="121">
        <v>133</v>
      </c>
      <c r="G12" s="121">
        <v>124</v>
      </c>
      <c r="H12" s="121">
        <v>161</v>
      </c>
      <c r="J12" s="121">
        <v>1</v>
      </c>
      <c r="K12" s="121">
        <v>50</v>
      </c>
      <c r="L12" s="121">
        <v>61</v>
      </c>
      <c r="M12" s="121">
        <v>8</v>
      </c>
      <c r="N12" s="121">
        <v>11</v>
      </c>
      <c r="O12" s="121">
        <v>48</v>
      </c>
      <c r="P12" s="121">
        <v>48</v>
      </c>
      <c r="Q12" s="121">
        <v>26</v>
      </c>
      <c r="R12" s="121">
        <v>47</v>
      </c>
      <c r="S12" s="121">
        <v>28</v>
      </c>
      <c r="T12" s="121">
        <v>14</v>
      </c>
      <c r="U12" s="121">
        <v>35</v>
      </c>
      <c r="V12" s="121">
        <v>45</v>
      </c>
      <c r="W12" s="121">
        <v>45</v>
      </c>
      <c r="X12" s="121">
        <v>53</v>
      </c>
      <c r="Y12" s="121">
        <v>18</v>
      </c>
      <c r="Z12" s="121">
        <v>-19</v>
      </c>
      <c r="AA12" s="121">
        <v>49</v>
      </c>
      <c r="AB12" s="122">
        <f t="shared" si="2"/>
        <v>30</v>
      </c>
      <c r="AC12" s="121">
        <f t="shared" si="0"/>
        <v>-38.775510204081634</v>
      </c>
      <c r="AD12" s="121">
        <f t="shared" si="1"/>
        <v>-43.39622641509434</v>
      </c>
      <c r="AF12" s="121">
        <v>143</v>
      </c>
      <c r="AG12" s="122">
        <v>60</v>
      </c>
      <c r="AH12" s="121">
        <f t="shared" si="5"/>
        <v>-58.04195804195804</v>
      </c>
      <c r="AI12" s="121">
        <f t="shared" si="3"/>
        <v>90</v>
      </c>
      <c r="AJ12" s="122">
        <f t="shared" si="4"/>
        <v>30</v>
      </c>
      <c r="AK12" s="121">
        <f t="shared" si="6"/>
        <v>-66.66666666666667</v>
      </c>
    </row>
    <row r="13" spans="3:35" ht="14.25">
      <c r="C13" s="20"/>
      <c r="D13" s="121"/>
      <c r="H13" s="165"/>
      <c r="Z13" s="165"/>
      <c r="AB13" s="489"/>
      <c r="AF13" s="165"/>
      <c r="AG13" s="489"/>
      <c r="AI13" s="165"/>
    </row>
    <row r="14" spans="1:37"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69"/>
      <c r="AA14" s="17"/>
      <c r="AB14" s="498"/>
      <c r="AC14" s="17"/>
      <c r="AD14" s="17"/>
      <c r="AE14" s="17"/>
      <c r="AF14" s="169"/>
      <c r="AG14" s="125"/>
      <c r="AH14" s="17"/>
      <c r="AI14" s="169"/>
      <c r="AJ14" s="462"/>
      <c r="AK14" s="17"/>
    </row>
    <row r="15" spans="2:37" ht="14.25">
      <c r="B15" s="101" t="s">
        <v>71</v>
      </c>
      <c r="C15" s="20"/>
      <c r="D15" s="121">
        <v>6663</v>
      </c>
      <c r="E15" s="121">
        <v>6562</v>
      </c>
      <c r="F15" s="121">
        <v>6041</v>
      </c>
      <c r="G15" s="121">
        <v>6908</v>
      </c>
      <c r="H15" s="121">
        <v>7857</v>
      </c>
      <c r="J15" s="121">
        <v>7630</v>
      </c>
      <c r="K15" s="121">
        <v>7254</v>
      </c>
      <c r="L15" s="121">
        <v>6319</v>
      </c>
      <c r="M15" s="121">
        <v>6562</v>
      </c>
      <c r="N15" s="121">
        <v>6983</v>
      </c>
      <c r="O15" s="121">
        <v>6441</v>
      </c>
      <c r="P15" s="121">
        <v>6000</v>
      </c>
      <c r="Q15" s="121">
        <v>6041</v>
      </c>
      <c r="R15" s="121">
        <v>6486</v>
      </c>
      <c r="S15" s="121">
        <v>5947</v>
      </c>
      <c r="T15" s="121">
        <v>6603</v>
      </c>
      <c r="U15" s="121">
        <v>6908</v>
      </c>
      <c r="V15" s="121">
        <v>7653</v>
      </c>
      <c r="W15" s="121">
        <v>7324</v>
      </c>
      <c r="X15" s="121">
        <v>6909</v>
      </c>
      <c r="Y15" s="121">
        <v>7857</v>
      </c>
      <c r="Z15" s="121">
        <v>7415</v>
      </c>
      <c r="AA15" s="121">
        <v>7529</v>
      </c>
      <c r="AB15" s="122">
        <f>AG15</f>
        <v>7325</v>
      </c>
      <c r="AC15" s="121">
        <f>IF(AND(AB15=0,AB15=0),0,IF(OR(AND(AB15&gt;0,AA15&lt;=0),AND(AB15&lt;0,AA15&gt;=0)),"nm",IF(AND(AB15&lt;0,AA15&lt;0),IF(-(AB15/AA15-1)*100&lt;-100,"(&gt;100)",-(AB15/AA15-1)*100),IF((AB15/AA15-1)*100&gt;100,"&gt;100",(AB15/AA15-1)*100))))</f>
        <v>-2.709523177048745</v>
      </c>
      <c r="AD15" s="121">
        <f>IF(AND(AB15=0,X15=0),0,IF(OR(AND(AB15&gt;0,X15&lt;=0),AND(AB15&lt;0,X15&gt;=0)),"nm",IF(AND(AB15&lt;0,X15&lt;0),IF(-(AB15/X15-1)*100&lt;-100,"(&gt;100)",-(AB15/X15-1)*100),IF((AB15/X15-1)*100&gt;100,"&gt;100",(AB15/X15-1)*100))))</f>
        <v>6.021131856998108</v>
      </c>
      <c r="AF15" s="121">
        <v>6909</v>
      </c>
      <c r="AG15" s="122">
        <v>7325</v>
      </c>
      <c r="AH15" s="121">
        <f>IF(AND(AG15=0,AF15=0),0,IF(OR(AND(AG15&gt;0,AF15&lt;=0),AND(AG15&lt;0,AF15&gt;=0)),"nm",IF(AND(AG15&lt;0,AF15&lt;0),IF(-(AG15/AF15-1)*100&lt;-100,"(&gt;100)",-(AG15/AF15-1)*100),IF((AG15/AF15-1)*100&gt;100,"&gt;100",(AG15/AF15-1)*100))))</f>
        <v>6.021131856998108</v>
      </c>
      <c r="AI15" s="121">
        <f>W15</f>
        <v>7324</v>
      </c>
      <c r="AJ15" s="122">
        <f>AA15</f>
        <v>7529</v>
      </c>
      <c r="AK15" s="121">
        <f>IF(AND(AJ15=0,AI15=0),0,IF(OR(AND(AJ15&gt;0,AI15&lt;=0),AND(AJ15&lt;0,AI15&gt;=0)),"nm",IF(AND(AJ15&lt;0,AI15&lt;0),IF(-(AJ15/AI15-1)*100&lt;-100,"(&gt;100)",-(AJ15/AI15-1)*100),IF((AJ15/AI15-1)*100&gt;100,"&gt;100",(AJ15/AI15-1)*100))))</f>
        <v>2.799016930638998</v>
      </c>
    </row>
    <row r="16" spans="2:37" ht="14.25">
      <c r="B16" s="101" t="s">
        <v>72</v>
      </c>
      <c r="C16" s="20"/>
      <c r="D16" s="121">
        <v>10168</v>
      </c>
      <c r="E16" s="121">
        <v>12387</v>
      </c>
      <c r="F16" s="121">
        <v>11863</v>
      </c>
      <c r="G16" s="121">
        <v>12669</v>
      </c>
      <c r="H16" s="121">
        <v>13799</v>
      </c>
      <c r="J16" s="121">
        <v>12918</v>
      </c>
      <c r="K16" s="121">
        <v>13756</v>
      </c>
      <c r="L16" s="121">
        <v>12841</v>
      </c>
      <c r="M16" s="121">
        <v>12387</v>
      </c>
      <c r="N16" s="121">
        <v>13081</v>
      </c>
      <c r="O16" s="121">
        <v>13119</v>
      </c>
      <c r="P16" s="121">
        <v>11886</v>
      </c>
      <c r="Q16" s="121">
        <v>11863</v>
      </c>
      <c r="R16" s="121">
        <v>12730</v>
      </c>
      <c r="S16" s="121">
        <v>12492</v>
      </c>
      <c r="T16" s="121">
        <v>12668</v>
      </c>
      <c r="U16" s="121">
        <v>12669</v>
      </c>
      <c r="V16" s="121">
        <v>13762</v>
      </c>
      <c r="W16" s="121">
        <v>12492</v>
      </c>
      <c r="X16" s="121">
        <v>12544</v>
      </c>
      <c r="Y16" s="121">
        <v>13799</v>
      </c>
      <c r="Z16" s="121">
        <v>13032</v>
      </c>
      <c r="AA16" s="121">
        <v>13050</v>
      </c>
      <c r="AB16" s="122">
        <f>AG16</f>
        <v>13030</v>
      </c>
      <c r="AC16" s="121">
        <f>IF(AND(AB16=0,AB16=0),0,IF(OR(AND(AB16&gt;0,AA16&lt;=0),AND(AB16&lt;0,AA16&gt;=0)),"nm",IF(AND(AB16&lt;0,AA16&lt;0),IF(-(AB16/AA16-1)*100&lt;-100,"(&gt;100)",-(AB16/AA16-1)*100),IF((AB16/AA16-1)*100&gt;100,"&gt;100",(AB16/AA16-1)*100))))</f>
        <v>-0.15325670498084198</v>
      </c>
      <c r="AD16" s="121">
        <f>IF(AND(AB16=0,X16=0),0,IF(OR(AND(AB16&gt;0,X16&lt;=0),AND(AB16&lt;0,X16&gt;=0)),"nm",IF(AND(AB16&lt;0,X16&lt;0),IF(-(AB16/X16-1)*100&lt;-100,"(&gt;100)",-(AB16/X16-1)*100),IF((AB16/X16-1)*100&gt;100,"&gt;100",(AB16/X16-1)*100))))</f>
        <v>3.8743622448979664</v>
      </c>
      <c r="AF16" s="121">
        <v>12544</v>
      </c>
      <c r="AG16" s="122">
        <v>13030</v>
      </c>
      <c r="AH16" s="121">
        <f>IF(AND(AG16=0,AF16=0),0,IF(OR(AND(AG16&gt;0,AF16&lt;=0),AND(AG16&lt;0,AF16&gt;=0)),"nm",IF(AND(AG16&lt;0,AF16&lt;0),IF(-(AG16/AF16-1)*100&lt;-100,"(&gt;100)",-(AG16/AF16-1)*100),IF((AG16/AF16-1)*100&gt;100,"&gt;100",(AG16/AF16-1)*100))))</f>
        <v>3.8743622448979664</v>
      </c>
      <c r="AI16" s="121">
        <f>W16</f>
        <v>12492</v>
      </c>
      <c r="AJ16" s="122">
        <f>AA16</f>
        <v>13050</v>
      </c>
      <c r="AK16" s="121">
        <f>IF(AND(AJ16=0,AI16=0),0,IF(OR(AND(AJ16&gt;0,AI16&lt;=0),AND(AJ16&lt;0,AI16&gt;=0)),"nm",IF(AND(AJ16&lt;0,AI16&lt;0),IF(-(AJ16/AI16-1)*100&lt;-100,"(&gt;100)",-(AJ16/AI16-1)*100),IF((AJ16/AI16-1)*100&gt;100,"&gt;100",(AJ16/AI16-1)*100))))</f>
        <v>4.466858789625361</v>
      </c>
    </row>
    <row r="17" spans="2:37" ht="14.25">
      <c r="B17" s="101" t="s">
        <v>10</v>
      </c>
      <c r="C17" s="20"/>
      <c r="D17" s="121">
        <v>10168</v>
      </c>
      <c r="E17" s="121">
        <v>12387</v>
      </c>
      <c r="F17" s="121">
        <v>11863</v>
      </c>
      <c r="G17" s="121">
        <v>12669</v>
      </c>
      <c r="H17" s="121">
        <v>13799</v>
      </c>
      <c r="J17" s="121">
        <v>12918</v>
      </c>
      <c r="K17" s="121">
        <v>13756</v>
      </c>
      <c r="L17" s="121">
        <v>12841</v>
      </c>
      <c r="M17" s="121">
        <v>12387</v>
      </c>
      <c r="N17" s="121">
        <v>13081</v>
      </c>
      <c r="O17" s="121">
        <v>13119</v>
      </c>
      <c r="P17" s="121">
        <v>11886</v>
      </c>
      <c r="Q17" s="121">
        <v>11863</v>
      </c>
      <c r="R17" s="121">
        <v>12730</v>
      </c>
      <c r="S17" s="121">
        <v>12492</v>
      </c>
      <c r="T17" s="121">
        <v>12668</v>
      </c>
      <c r="U17" s="121">
        <v>12669</v>
      </c>
      <c r="V17" s="121">
        <v>13762</v>
      </c>
      <c r="W17" s="121">
        <v>12492</v>
      </c>
      <c r="X17" s="121">
        <v>12544</v>
      </c>
      <c r="Y17" s="121">
        <v>13799</v>
      </c>
      <c r="Z17" s="121">
        <f>Z16</f>
        <v>13032</v>
      </c>
      <c r="AA17" s="121">
        <f>AA16</f>
        <v>13050</v>
      </c>
      <c r="AB17" s="122">
        <f>AG17</f>
        <v>13030</v>
      </c>
      <c r="AC17" s="121">
        <f>IF(AND(AB17=0,AB17=0),0,IF(OR(AND(AB17&gt;0,AA17&lt;=0),AND(AB17&lt;0,AA17&gt;=0)),"nm",IF(AND(AB17&lt;0,AA17&lt;0),IF(-(AB17/AA17-1)*100&lt;-100,"(&gt;100)",-(AB17/AA17-1)*100),IF((AB17/AA17-1)*100&gt;100,"&gt;100",(AB17/AA17-1)*100))))</f>
        <v>-0.15325670498084198</v>
      </c>
      <c r="AD17" s="121">
        <f>IF(AND(AB17=0,X17=0),0,IF(OR(AND(AB17&gt;0,X17&lt;=0),AND(AB17&lt;0,X17&gt;=0)),"nm",IF(AND(AB17&lt;0,X17&lt;0),IF(-(AB17/X17-1)*100&lt;-100,"(&gt;100)",-(AB17/X17-1)*100),IF((AB17/X17-1)*100&gt;100,"&gt;100",(AB17/X17-1)*100))))</f>
        <v>3.8743622448979664</v>
      </c>
      <c r="AF17" s="121">
        <v>12544</v>
      </c>
      <c r="AG17" s="122">
        <v>13030</v>
      </c>
      <c r="AH17" s="121">
        <f>IF(AND(AG17=0,AF17=0),0,IF(OR(AND(AG17&gt;0,AF17&lt;=0),AND(AG17&lt;0,AF17&gt;=0)),"nm",IF(AND(AG17&lt;0,AF17&lt;0),IF(-(AG17/AF17-1)*100&lt;-100,"(&gt;100)",-(AG17/AF17-1)*100),IF((AG17/AF17-1)*100&gt;100,"&gt;100",(AG17/AF17-1)*100))))</f>
        <v>3.8743622448979664</v>
      </c>
      <c r="AI17" s="121">
        <f>W17</f>
        <v>12492</v>
      </c>
      <c r="AJ17" s="122">
        <f>AA17</f>
        <v>13050</v>
      </c>
      <c r="AK17" s="121">
        <f>IF(AND(AJ17=0,AI17=0),0,IF(OR(AND(AJ17&gt;0,AI17&lt;=0),AND(AJ17&lt;0,AI17&gt;=0)),"nm",IF(AND(AJ17&lt;0,AI17&lt;0),IF(-(AJ17/AI17-1)*100&lt;-100,"(&gt;100)",-(AJ17/AI17-1)*100),IF((AJ17/AI17-1)*100&gt;100,"&gt;100",(AJ17/AI17-1)*100))))</f>
        <v>4.466858789625361</v>
      </c>
    </row>
    <row r="18" spans="3:35" ht="14.25">
      <c r="C18" s="20"/>
      <c r="D18" s="121"/>
      <c r="AI18" s="165"/>
    </row>
    <row r="19" spans="4:33" ht="14.25">
      <c r="D19" s="121"/>
      <c r="Z19" s="355"/>
      <c r="AA19" s="355"/>
      <c r="AB19" s="352"/>
      <c r="AG19" s="489"/>
    </row>
    <row r="20" spans="4:33" ht="14.25">
      <c r="D20" s="121"/>
      <c r="Z20" s="355"/>
      <c r="AA20" s="355"/>
      <c r="AB20" s="352"/>
      <c r="AG20" s="352"/>
    </row>
    <row r="21" ht="14.25">
      <c r="AG21" s="352"/>
    </row>
    <row r="22" ht="14.25">
      <c r="AG22" s="352"/>
    </row>
    <row r="23" ht="14.25">
      <c r="AG23" s="352"/>
    </row>
    <row r="24" ht="14.25">
      <c r="AG24" s="352"/>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portrait" scale="76" r:id="rId1"/>
  <headerFooter alignWithMargins="0">
    <oddFooter>&amp;L&amp;Z&amp;F&amp;A&amp;R&amp;D&amp;T</oddFooter>
  </headerFooter>
  <ignoredErrors>
    <ignoredError sqref="AI4:AJ19"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P172"/>
  <sheetViews>
    <sheetView view="pageBreakPreview" zoomScale="80" zoomScaleNormal="80" zoomScaleSheetLayoutView="80" zoomScalePageLayoutView="0" workbookViewId="0" topLeftCell="A1">
      <pane ySplit="5" topLeftCell="A27" activePane="bottomLeft" state="frozen"/>
      <selection pane="topLeft" activeCell="P25" sqref="P25"/>
      <selection pane="bottomLeft" activeCell="C13" sqref="C13"/>
    </sheetView>
  </sheetViews>
  <sheetFormatPr defaultColWidth="9.140625" defaultRowHeight="12.75"/>
  <cols>
    <col min="1" max="1" width="2.00390625" style="0" customWidth="1"/>
    <col min="2" max="2" width="47.00390625" style="0" customWidth="1"/>
    <col min="3" max="4" width="10.7109375" style="224" customWidth="1"/>
    <col min="5" max="5" width="10.7109375" style="250" customWidth="1"/>
    <col min="6" max="6" width="10.7109375" style="224" customWidth="1"/>
    <col min="7" max="7" width="10.7109375" style="224" hidden="1" customWidth="1"/>
    <col min="8" max="8" width="10.7109375" style="250" customWidth="1"/>
    <col min="9" max="10" width="12.421875" style="238" customWidth="1"/>
    <col min="11" max="11" width="10.7109375" style="238" customWidth="1"/>
    <col min="12" max="12" width="11.28125" style="0" bestFit="1" customWidth="1"/>
  </cols>
  <sheetData>
    <row r="1" spans="1:16" s="42" customFormat="1" ht="20.25">
      <c r="A1" s="41" t="s">
        <v>327</v>
      </c>
      <c r="D1" s="218"/>
      <c r="E1" s="242"/>
      <c r="F1" s="43"/>
      <c r="G1" s="43"/>
      <c r="H1" s="280"/>
      <c r="I1" s="252"/>
      <c r="J1" s="43"/>
      <c r="K1" s="252"/>
      <c r="L1" s="43"/>
      <c r="M1" s="43"/>
      <c r="N1" s="43"/>
      <c r="O1" s="43"/>
      <c r="P1" s="43"/>
    </row>
    <row r="2" spans="1:16" s="44" customFormat="1" ht="15">
      <c r="A2" s="590" t="s">
        <v>80</v>
      </c>
      <c r="B2" s="590"/>
      <c r="C2" s="590"/>
      <c r="E2" s="243"/>
      <c r="H2" s="281"/>
      <c r="I2" s="254"/>
      <c r="K2" s="254"/>
      <c r="L2" s="45"/>
      <c r="P2" s="45"/>
    </row>
    <row r="3" spans="1:11" ht="15" thickBot="1">
      <c r="A3" s="80"/>
      <c r="B3" s="80"/>
      <c r="C3" s="108"/>
      <c r="D3" s="108"/>
      <c r="E3" s="244"/>
      <c r="F3" s="108"/>
      <c r="G3" s="108"/>
      <c r="H3" s="282"/>
      <c r="I3" s="67"/>
      <c r="J3" s="67"/>
      <c r="K3" s="67"/>
    </row>
    <row r="4" spans="2:11" s="67" customFormat="1" ht="15.75" customHeight="1" thickTop="1">
      <c r="B4" s="172"/>
      <c r="C4" s="600" t="s">
        <v>434</v>
      </c>
      <c r="D4" s="600" t="s">
        <v>435</v>
      </c>
      <c r="E4" s="245" t="s">
        <v>239</v>
      </c>
      <c r="F4" s="594" t="s">
        <v>412</v>
      </c>
      <c r="G4" s="594" t="s">
        <v>441</v>
      </c>
      <c r="H4" s="283" t="s">
        <v>239</v>
      </c>
      <c r="I4" s="594" t="s">
        <v>439</v>
      </c>
      <c r="J4" s="594" t="s">
        <v>440</v>
      </c>
      <c r="K4" s="276" t="s">
        <v>239</v>
      </c>
    </row>
    <row r="5" spans="2:11" s="67" customFormat="1" ht="15.75" thickBot="1">
      <c r="B5" s="173" t="s">
        <v>238</v>
      </c>
      <c r="C5" s="601"/>
      <c r="D5" s="601"/>
      <c r="E5" s="246" t="s">
        <v>240</v>
      </c>
      <c r="F5" s="595"/>
      <c r="G5" s="595"/>
      <c r="H5" s="284" t="s">
        <v>240</v>
      </c>
      <c r="I5" s="595"/>
      <c r="J5" s="595"/>
      <c r="K5" s="277" t="s">
        <v>240</v>
      </c>
    </row>
    <row r="6" spans="2:11" s="67" customFormat="1" ht="15.75" thickTop="1">
      <c r="B6" s="174"/>
      <c r="C6" s="225"/>
      <c r="D6" s="219"/>
      <c r="E6" s="279"/>
      <c r="F6" s="225"/>
      <c r="G6" s="225"/>
      <c r="H6" s="251"/>
      <c r="I6" s="361"/>
      <c r="J6" s="175"/>
      <c r="K6" s="175"/>
    </row>
    <row r="7" spans="2:11" s="67" customFormat="1" ht="15">
      <c r="B7" s="176" t="s">
        <v>241</v>
      </c>
      <c r="C7" s="357"/>
      <c r="D7" s="107"/>
      <c r="E7" s="279"/>
      <c r="F7" s="536"/>
      <c r="G7" s="357"/>
      <c r="H7" s="532"/>
      <c r="I7" s="362"/>
      <c r="J7" s="278"/>
      <c r="K7" s="535"/>
    </row>
    <row r="8" spans="2:12" s="67" customFormat="1" ht="15">
      <c r="B8" s="166" t="s">
        <v>23</v>
      </c>
      <c r="C8" s="386">
        <f>I8-F8-G8</f>
        <v>2006</v>
      </c>
      <c r="D8" s="309">
        <v>1939</v>
      </c>
      <c r="E8" s="413">
        <f aca="true" t="shared" si="0" ref="E8:E15">IF(AND(C8=0,D8=0),0,IF(OR(AND(C8&gt;0,D8&lt;=0),AND(C8&lt;0,D8&gt;=0)),"nm",IF(AND(C8&lt;0,D8&lt;0),IF(-(C8/D8-1)*100&lt;-100,"(&gt;100)",-(C8/D8-1)*100),IF((C8/D8-1)*100&gt;100,"&gt;100",(C8/D8-1)*100))))</f>
        <v>3.4553893759669885</v>
      </c>
      <c r="F8" s="309">
        <v>1975</v>
      </c>
      <c r="G8" s="309">
        <v>1920</v>
      </c>
      <c r="H8" s="256">
        <f aca="true" t="shared" si="1" ref="H8:H15">IF(AND(C8=0,F8=0),0,IF(OR(AND(C8&gt;0,F8&lt;=0),AND(C8&lt;0,F8&gt;=0)),"nm",IF(AND(C8&lt;0,F8&lt;0),IF(-(C8/F8-1)*100&lt;-100,"(&gt;100)",-(C8/F8-1)*100),IF((C8/F8-1)*100&gt;100,"&gt;100",(C8/F8-1)*100))))</f>
        <v>1.5696202531645609</v>
      </c>
      <c r="I8" s="386">
        <v>5901</v>
      </c>
      <c r="J8" s="309">
        <v>5721</v>
      </c>
      <c r="K8" s="140">
        <f>IF(AND(I8=0,J8=0),0,IF(OR(AND(I8&gt;0,J8&lt;=0),AND(I8&lt;0,J8&gt;=0)),"nm",IF(AND(I8&lt;0,J8&lt;0),IF(-(I8/J8-1)*100&lt;-100,"(&gt;100)",-(I8/J8-1)*100),IF((I8/J8-1)*100&gt;100,"&gt;100",(I8/J8-1)*100))))</f>
        <v>3.1463030938646996</v>
      </c>
      <c r="L8" s="282"/>
    </row>
    <row r="9" spans="2:12" s="67" customFormat="1" ht="15.75" thickBot="1">
      <c r="B9" s="166" t="s">
        <v>24</v>
      </c>
      <c r="C9" s="408">
        <f>I9-F9-G9</f>
        <v>600</v>
      </c>
      <c r="D9" s="310">
        <v>607</v>
      </c>
      <c r="E9" s="414">
        <f t="shared" si="0"/>
        <v>-1.1532125205930832</v>
      </c>
      <c r="F9" s="310">
        <v>593</v>
      </c>
      <c r="G9" s="310">
        <v>593</v>
      </c>
      <c r="H9" s="325">
        <f t="shared" si="1"/>
        <v>1.180438448566612</v>
      </c>
      <c r="I9" s="408">
        <v>1786</v>
      </c>
      <c r="J9" s="310">
        <v>1729</v>
      </c>
      <c r="K9" s="327">
        <f aca="true" t="shared" si="2" ref="K9:K17">IF(AND(I9=0,J9=0),0,IF(OR(AND(I9&gt;0,J9&lt;=0),AND(I9&lt;0,J9&gt;=0)),"nm",IF(AND(I9&lt;0,J9&lt;0),IF(-(I9/J9-1)*100&lt;-100,"(&gt;100)",-(I9/J9-1)*100),IF((I9/J9-1)*100&gt;100,"&gt;100",(I9/J9-1)*100))))</f>
        <v>3.296703296703307</v>
      </c>
      <c r="L9" s="282"/>
    </row>
    <row r="10" spans="2:12" s="67" customFormat="1" ht="15">
      <c r="B10" s="166" t="s">
        <v>5</v>
      </c>
      <c r="C10" s="386">
        <f>C8-C9</f>
        <v>1406</v>
      </c>
      <c r="D10" s="309">
        <f>D8-D9</f>
        <v>1332</v>
      </c>
      <c r="E10" s="413">
        <f t="shared" si="0"/>
        <v>5.555555555555558</v>
      </c>
      <c r="F10" s="309">
        <f>F8-F9</f>
        <v>1382</v>
      </c>
      <c r="G10" s="309">
        <v>1327</v>
      </c>
      <c r="H10" s="256">
        <f t="shared" si="1"/>
        <v>1.736613603473236</v>
      </c>
      <c r="I10" s="386">
        <f>I8-I9</f>
        <v>4115</v>
      </c>
      <c r="J10" s="309">
        <f>J8-J9</f>
        <v>3992</v>
      </c>
      <c r="K10" s="247">
        <f t="shared" si="2"/>
        <v>3.0811623246493003</v>
      </c>
      <c r="L10" s="282"/>
    </row>
    <row r="11" spans="2:12" s="67" customFormat="1" ht="15">
      <c r="B11" s="166" t="s">
        <v>242</v>
      </c>
      <c r="C11" s="386">
        <f>I11-F11-G11</f>
        <v>462</v>
      </c>
      <c r="D11" s="307">
        <v>422</v>
      </c>
      <c r="E11" s="413">
        <f t="shared" si="0"/>
        <v>9.478672985782</v>
      </c>
      <c r="F11" s="307">
        <v>477</v>
      </c>
      <c r="G11" s="307">
        <v>507</v>
      </c>
      <c r="H11" s="256">
        <f t="shared" si="1"/>
        <v>-3.1446540880503138</v>
      </c>
      <c r="I11" s="386">
        <v>1446</v>
      </c>
      <c r="J11" s="309">
        <v>1207</v>
      </c>
      <c r="K11" s="247">
        <f t="shared" si="2"/>
        <v>19.801159900579957</v>
      </c>
      <c r="L11" s="282"/>
    </row>
    <row r="12" spans="2:12" s="67" customFormat="1" ht="15">
      <c r="B12" s="166" t="s">
        <v>321</v>
      </c>
      <c r="C12" s="385">
        <f>I12-F12-G12</f>
        <v>206</v>
      </c>
      <c r="D12" s="307">
        <v>137</v>
      </c>
      <c r="E12" s="306">
        <f t="shared" si="0"/>
        <v>50.364963503649626</v>
      </c>
      <c r="F12" s="307">
        <v>330</v>
      </c>
      <c r="G12" s="307">
        <v>410</v>
      </c>
      <c r="H12" s="247">
        <f t="shared" si="1"/>
        <v>-37.57575757575757</v>
      </c>
      <c r="I12" s="146">
        <v>946</v>
      </c>
      <c r="J12" s="307">
        <v>601</v>
      </c>
      <c r="K12" s="247">
        <f t="shared" si="2"/>
        <v>57.404326123128115</v>
      </c>
      <c r="L12" s="282"/>
    </row>
    <row r="13" spans="2:12" s="67" customFormat="1" ht="29.25">
      <c r="B13" s="486" t="s">
        <v>429</v>
      </c>
      <c r="C13" s="385">
        <f>I13-F13-G13</f>
        <v>-18</v>
      </c>
      <c r="D13" s="247">
        <v>-7</v>
      </c>
      <c r="E13" s="415" t="str">
        <f t="shared" si="0"/>
        <v>(&gt;100)</v>
      </c>
      <c r="F13" s="247">
        <v>6</v>
      </c>
      <c r="G13" s="247">
        <v>-2</v>
      </c>
      <c r="H13" s="247" t="str">
        <f t="shared" si="1"/>
        <v>nm</v>
      </c>
      <c r="I13" s="385">
        <v>-14</v>
      </c>
      <c r="J13" s="247">
        <v>-46</v>
      </c>
      <c r="K13" s="247">
        <f t="shared" si="2"/>
        <v>69.56521739130434</v>
      </c>
      <c r="L13" s="282"/>
    </row>
    <row r="14" spans="2:12" s="67" customFormat="1" ht="15">
      <c r="B14" s="166" t="s">
        <v>243</v>
      </c>
      <c r="C14" s="385">
        <f>I14-F14-G14</f>
        <v>83</v>
      </c>
      <c r="D14" s="307">
        <v>110</v>
      </c>
      <c r="E14" s="306">
        <f t="shared" si="0"/>
        <v>-24.545454545454547</v>
      </c>
      <c r="F14" s="307">
        <v>45</v>
      </c>
      <c r="G14" s="307">
        <v>66</v>
      </c>
      <c r="H14" s="247">
        <f t="shared" si="1"/>
        <v>84.44444444444446</v>
      </c>
      <c r="I14" s="146">
        <v>194</v>
      </c>
      <c r="J14" s="307">
        <v>316</v>
      </c>
      <c r="K14" s="247">
        <f t="shared" si="2"/>
        <v>-38.60759493670886</v>
      </c>
      <c r="L14" s="282"/>
    </row>
    <row r="15" spans="2:12" s="67" customFormat="1" ht="15">
      <c r="B15" s="166" t="s">
        <v>26</v>
      </c>
      <c r="C15" s="385">
        <f>I15-F15-G15</f>
        <v>11</v>
      </c>
      <c r="D15" s="307">
        <v>10</v>
      </c>
      <c r="E15" s="415">
        <f t="shared" si="0"/>
        <v>10.000000000000009</v>
      </c>
      <c r="F15" s="307">
        <v>69</v>
      </c>
      <c r="G15" s="307">
        <v>9</v>
      </c>
      <c r="H15" s="247">
        <f t="shared" si="1"/>
        <v>-84.05797101449275</v>
      </c>
      <c r="I15" s="146">
        <f>44+45</f>
        <v>89</v>
      </c>
      <c r="J15" s="307">
        <v>35</v>
      </c>
      <c r="K15" s="247" t="str">
        <f t="shared" si="2"/>
        <v>&gt;100</v>
      </c>
      <c r="L15" s="282"/>
    </row>
    <row r="16" spans="2:12" s="67" customFormat="1" ht="15.75" thickBot="1">
      <c r="B16" s="176"/>
      <c r="C16" s="408"/>
      <c r="D16" s="308"/>
      <c r="E16" s="306"/>
      <c r="F16" s="310"/>
      <c r="G16" s="310"/>
      <c r="H16" s="247"/>
      <c r="I16" s="308"/>
      <c r="J16" s="308"/>
      <c r="K16" s="247"/>
      <c r="L16" s="282"/>
    </row>
    <row r="17" spans="2:12" s="67" customFormat="1" ht="15.75" thickBot="1">
      <c r="B17" s="166" t="s">
        <v>6</v>
      </c>
      <c r="C17" s="409">
        <f>SUM(C10:C15)</f>
        <v>2150</v>
      </c>
      <c r="D17" s="326">
        <f>SUM(D10:D15)</f>
        <v>2004</v>
      </c>
      <c r="E17" s="416">
        <f>IF(AND(C17=0,D17=0),0,IF(OR(AND(C17&gt;0,D17&lt;=0),AND(C17&lt;0,D17&gt;=0)),"nm",IF(AND(C17&lt;0,D17&lt;0),IF(-(C17/D17-1)*100&lt;-100,"(&gt;100)",-(C17/D17-1)*100),IF((C17/D17-1)*100&gt;100,"&gt;100",(C17/D17-1)*100))))</f>
        <v>7.285429141716571</v>
      </c>
      <c r="F17" s="326">
        <f>SUM(F10:F15)</f>
        <v>2309</v>
      </c>
      <c r="G17" s="326">
        <v>2317</v>
      </c>
      <c r="H17" s="417">
        <f>IF(AND(C17=0,F17=0),0,IF(OR(AND(C17&gt;0,F17&lt;=0),AND(C17&lt;0,F17&gt;=0)),"nm",IF(AND(C17&lt;0,F17&lt;0),IF(-(C17/F17-1)*100&lt;-100,"(&gt;100)",-(C17/F17-1)*100),IF((C17/F17-1)*100&gt;100,"&gt;100",(C17/F17-1)*100))))</f>
        <v>-6.886097877869213</v>
      </c>
      <c r="I17" s="409">
        <f>SUM(I10:I15)</f>
        <v>6776</v>
      </c>
      <c r="J17" s="326">
        <f>SUM(J10:J15)</f>
        <v>6105</v>
      </c>
      <c r="K17" s="410">
        <f t="shared" si="2"/>
        <v>10.99099099099099</v>
      </c>
      <c r="L17" s="282"/>
    </row>
    <row r="18" spans="2:12" s="67" customFormat="1" ht="15">
      <c r="B18" s="166"/>
      <c r="C18" s="386"/>
      <c r="D18" s="307"/>
      <c r="E18" s="306"/>
      <c r="F18" s="309"/>
      <c r="G18" s="309"/>
      <c r="H18" s="247"/>
      <c r="I18" s="307"/>
      <c r="J18" s="307"/>
      <c r="K18" s="247"/>
      <c r="L18" s="282"/>
    </row>
    <row r="19" spans="2:12" s="67" customFormat="1" ht="15">
      <c r="B19" s="176" t="s">
        <v>0</v>
      </c>
      <c r="C19" s="386"/>
      <c r="D19" s="307"/>
      <c r="E19" s="306"/>
      <c r="F19" s="309"/>
      <c r="G19" s="309"/>
      <c r="H19" s="247"/>
      <c r="I19" s="307"/>
      <c r="J19" s="307"/>
      <c r="K19" s="247"/>
      <c r="L19" s="282"/>
    </row>
    <row r="20" spans="2:12" s="67" customFormat="1" ht="15">
      <c r="B20" s="166" t="s">
        <v>244</v>
      </c>
      <c r="C20" s="386">
        <f>I20-F20-G20</f>
        <v>511</v>
      </c>
      <c r="D20" s="307">
        <v>482</v>
      </c>
      <c r="E20" s="306">
        <f>IF(AND(C20=0,D20=0),0,IF(OR(AND(C20&gt;0,D20&lt;=0),AND(C20&lt;0,D20&gt;=0)),"nm",IF(AND(C20&lt;0,D20&lt;0),IF(-(C20/D20-1)*100&lt;-100,"(&gt;100)",-(C20/D20-1)*100),IF((C20/D20-1)*100&gt;100,"&gt;100",(C20/D20-1)*100))))</f>
        <v>6.016597510373445</v>
      </c>
      <c r="F20" s="307">
        <v>521</v>
      </c>
      <c r="G20" s="307">
        <v>506</v>
      </c>
      <c r="H20" s="247">
        <f>IF(AND(C20=0,F20=0),0,IF(OR(AND(C20&gt;0,F20&lt;=0),AND(C20&lt;0,F20&gt;=0)),"nm",IF(AND(C20&lt;0,F20&lt;0),IF(-(C20/F20-1)*100&lt;-100,"(&gt;100)",-(C20/F20-1)*100),IF((C20/F20-1)*100&gt;100,"&gt;100",(C20/F20-1)*100))))</f>
        <v>-1.9193857965451033</v>
      </c>
      <c r="I20" s="386">
        <v>1538</v>
      </c>
      <c r="J20" s="247">
        <v>1433</v>
      </c>
      <c r="K20" s="247">
        <f>IF(AND(I20=0,J20=0),0,IF(OR(AND(I20&gt;0,J20&lt;=0),AND(I20&lt;0,J20&gt;=0)),"nm",IF(AND(I20&lt;0,J20&lt;0),IF(-(I20/J20-1)*100&lt;-100,"(&gt;100)",-(I20/J20-1)*100),IF((I20/J20-1)*100&gt;100,"&gt;100",(I20/J20-1)*100))))</f>
        <v>7.327285415212836</v>
      </c>
      <c r="L20" s="282"/>
    </row>
    <row r="21" spans="2:12" s="67" customFormat="1" ht="15">
      <c r="B21" s="166" t="s">
        <v>246</v>
      </c>
      <c r="C21" s="386">
        <f>I21-F21-G21</f>
        <v>438</v>
      </c>
      <c r="D21" s="307">
        <v>419</v>
      </c>
      <c r="E21" s="415">
        <f>IF(AND(C21=0,D21=0),0,IF(OR(AND(C21&gt;0,D21&lt;=0),AND(C21&lt;0,D21&gt;=0)),"nm",IF(AND(C21&lt;0,D21&lt;0),IF(-(C21/D21-1)*100&lt;-100,"(&gt;100)",-(C21/D21-1)*100),IF((C21/D21-1)*100&gt;100,"&gt;100",(C21/D21-1)*100))))</f>
        <v>4.534606205250591</v>
      </c>
      <c r="F21" s="307">
        <v>466</v>
      </c>
      <c r="G21" s="307">
        <v>446</v>
      </c>
      <c r="H21" s="247">
        <f>IF(AND(C21=0,F21=0),0,IF(OR(AND(C21&gt;0,F21&lt;=0),AND(C21&lt;0,F21&gt;=0)),"nm",IF(AND(C21&lt;0,F21&lt;0),IF(-(C21/F21-1)*100&lt;-100,"(&gt;100)",-(C21/F21-1)*100),IF((C21/F21-1)*100&gt;100,"&gt;100",(C21/F21-1)*100))))</f>
        <v>-6.008583690987123</v>
      </c>
      <c r="I21" s="385">
        <f>1186+164</f>
        <v>1350</v>
      </c>
      <c r="J21" s="247">
        <v>1238</v>
      </c>
      <c r="K21" s="247">
        <f>IF(AND(I21=0,J21=0),0,IF(OR(AND(I21&gt;0,J21&lt;=0),AND(I21&lt;0,J21&gt;=0)),"nm",IF(AND(I21&lt;0,J21&lt;0),IF(-(I21/J21-1)*100&lt;-100,"(&gt;100)",-(I21/J21-1)*100),IF((I21/J21-1)*100&gt;100,"&gt;100",(I21/J21-1)*100))))</f>
        <v>9.04684975767367</v>
      </c>
      <c r="L21" s="282"/>
    </row>
    <row r="22" spans="2:12" s="67" customFormat="1" ht="15">
      <c r="B22" s="166" t="s">
        <v>8</v>
      </c>
      <c r="C22" s="386">
        <f>I22-F22-G22</f>
        <v>151</v>
      </c>
      <c r="D22" s="307">
        <v>55</v>
      </c>
      <c r="E22" s="415" t="str">
        <f>IF(AND(C22=0,D22=0),0,IF(OR(AND(C22&gt;0,D22&lt;=0),AND(C22&lt;0,D22&gt;=0)),"nm",IF(AND(C22&lt;0,D22&lt;0),IF(-(C22/D22-1)*100&lt;-100,"(&gt;100)",-(C22/D22-1)*100),IF((C22/D22-1)*100&gt;100,"&gt;100",(C22/D22-1)*100))))</f>
        <v>&gt;100</v>
      </c>
      <c r="F22" s="307">
        <v>245</v>
      </c>
      <c r="G22" s="307">
        <v>223</v>
      </c>
      <c r="H22" s="247">
        <f>IF(AND(C22=0,F22=0),0,IF(OR(AND(C22&gt;0,F22&lt;=0),AND(C22&lt;0,F22&gt;=0)),"nm",IF(AND(C22&lt;0,F22&lt;0),IF(-(C22/F22-1)*100&lt;-100,"(&gt;100)",-(C22/F22-1)*100),IF((C22/F22-1)*100&gt;100,"&gt;100",(C22/F22-1)*100))))</f>
        <v>-38.36734693877551</v>
      </c>
      <c r="I22" s="146">
        <v>619</v>
      </c>
      <c r="J22" s="247">
        <v>303</v>
      </c>
      <c r="K22" s="247" t="str">
        <f>IF(AND(I22=0,J22=0),0,IF(OR(AND(I22&gt;0,J22&lt;=0),AND(I22&lt;0,J22&gt;=0)),"nm",IF(AND(I22&lt;0,J22&lt;0),IF(-(I22/J22-1)*100&lt;-100,"(&gt;100)",-(I22/J22-1)*100),IF((I22/J22-1)*100&gt;100,"&gt;100",(I22/J22-1)*100))))</f>
        <v>&gt;100</v>
      </c>
      <c r="L22" s="282"/>
    </row>
    <row r="23" spans="2:12" s="67" customFormat="1" ht="15.75" thickBot="1">
      <c r="B23" s="166"/>
      <c r="C23" s="408"/>
      <c r="D23" s="308"/>
      <c r="E23" s="311"/>
      <c r="F23" s="310"/>
      <c r="G23" s="310"/>
      <c r="H23" s="247"/>
      <c r="I23" s="308"/>
      <c r="J23" s="308"/>
      <c r="K23" s="247"/>
      <c r="L23" s="282"/>
    </row>
    <row r="24" spans="2:12" s="67" customFormat="1" ht="15.75" thickBot="1">
      <c r="B24" s="166" t="s">
        <v>247</v>
      </c>
      <c r="C24" s="411">
        <f>SUM(C20:C22)</f>
        <v>1100</v>
      </c>
      <c r="D24" s="325">
        <f>SUM(D20:D22)</f>
        <v>956</v>
      </c>
      <c r="E24" s="420">
        <f>IF(AND(C24=0,D24=0),0,IF(OR(AND(C24&gt;0,D24&lt;=0),AND(C24&lt;0,D24&gt;=0)),"nm",IF(AND(C24&lt;0,D24&lt;0),IF(-(C24/D24-1)*100&lt;-100,"(&gt;100)",-(C24/D24-1)*100),IF((C24/D24-1)*100&gt;100,"&gt;100",(C24/D24-1)*100))))</f>
        <v>15.062761506276146</v>
      </c>
      <c r="F24" s="325">
        <f>SUM(F20:F22)</f>
        <v>1232</v>
      </c>
      <c r="G24" s="325">
        <v>1175</v>
      </c>
      <c r="H24" s="417">
        <f>IF(AND(C24=0,F24=0),0,IF(OR(AND(C24&gt;0,F24&lt;=0),AND(C24&lt;0,F24&gt;=0)),"nm",IF(AND(C24&lt;0,F24&lt;0),IF(-(C24/F24-1)*100&lt;-100,"(&gt;100)",-(C24/F24-1)*100),IF((C24/F24-1)*100&gt;100,"&gt;100",(C24/F24-1)*100))))</f>
        <v>-10.71428571428571</v>
      </c>
      <c r="I24" s="411">
        <f>SUM(I20:I22)</f>
        <v>3507</v>
      </c>
      <c r="J24" s="325">
        <f>SUM(J20:J22)</f>
        <v>2974</v>
      </c>
      <c r="K24" s="410">
        <f>IF(AND(I24=0,J24=0),0,IF(OR(AND(I24&gt;0,J24&lt;=0),AND(I24&lt;0,J24&gt;=0)),"nm",IF(AND(I24&lt;0,J24&lt;0),IF(-(I24/J24-1)*100&lt;-100,"(&gt;100)",-(I24/J24-1)*100),IF((I24/J24-1)*100&gt;100,"&gt;100",(I24/J24-1)*100))))</f>
        <v>17.921990585070603</v>
      </c>
      <c r="L24" s="282"/>
    </row>
    <row r="25" spans="2:12" s="67" customFormat="1" ht="15">
      <c r="B25" s="176"/>
      <c r="C25" s="386"/>
      <c r="D25" s="307"/>
      <c r="E25" s="306"/>
      <c r="F25" s="309"/>
      <c r="G25" s="309"/>
      <c r="H25" s="247"/>
      <c r="I25" s="307"/>
      <c r="J25" s="307"/>
      <c r="K25" s="247"/>
      <c r="L25" s="282"/>
    </row>
    <row r="26" spans="2:12" s="67" customFormat="1" ht="15">
      <c r="B26" s="177"/>
      <c r="C26" s="386"/>
      <c r="D26" s="307"/>
      <c r="E26" s="306"/>
      <c r="F26" s="309"/>
      <c r="G26" s="309"/>
      <c r="H26" s="247"/>
      <c r="I26" s="307"/>
      <c r="J26" s="307"/>
      <c r="K26" s="247"/>
      <c r="L26" s="282"/>
    </row>
    <row r="27" spans="2:12" s="67" customFormat="1" ht="15">
      <c r="B27" s="166" t="s">
        <v>351</v>
      </c>
      <c r="C27" s="386">
        <f>I27-F27-G27</f>
        <v>1050</v>
      </c>
      <c r="D27" s="309">
        <f>D17-D24</f>
        <v>1048</v>
      </c>
      <c r="E27" s="306">
        <f>IF(AND(C27=0,D27=0),0,IF(OR(AND(C27&gt;0,D27&lt;=0),AND(C27&lt;0,D27&gt;=0)),"nm",IF(AND(C27&lt;0,D27&lt;0),IF(-(C27/D27-1)*100&lt;-100,"(&gt;100)",-(C27/D27-1)*100),IF((C27/D27-1)*100&gt;100,"&gt;100",(C27/D27-1)*100))))</f>
        <v>0.1908396946564972</v>
      </c>
      <c r="F27" s="309">
        <f>F17-F24</f>
        <v>1077</v>
      </c>
      <c r="G27" s="247">
        <v>1142</v>
      </c>
      <c r="H27" s="247">
        <f>IF(AND(C27=0,F27=0),0,IF(OR(AND(C27&gt;0,F27&lt;=0),AND(C27&lt;0,F27&gt;=0)),"nm",IF(AND(C27&lt;0,F27&lt;0),IF(-(C27/F27-1)*100&lt;-100,"(&gt;100)",-(C27/F27-1)*100),IF((C27/F27-1)*100&gt;100,"&gt;100",(C27/F27-1)*100))))</f>
        <v>-2.506963788300831</v>
      </c>
      <c r="I27" s="386">
        <f>I17-I24</f>
        <v>3269</v>
      </c>
      <c r="J27" s="309">
        <f>J17-J24</f>
        <v>3131</v>
      </c>
      <c r="K27" s="247">
        <f>IF(AND(I27=0,J27=0),0,IF(OR(AND(I27&gt;0,J27&lt;=0),AND(I27&lt;0,J27&gt;=0)),"nm",IF(AND(I27&lt;0,J27&lt;0),IF(-(I27/J27-1)*100&lt;-100,"(&gt;100)",-(I27/J27-1)*100),IF((I27/J27-1)*100&gt;100,"&gt;100",(I27/J27-1)*100))))</f>
        <v>4.407537527946337</v>
      </c>
      <c r="L27" s="282"/>
    </row>
    <row r="28" spans="2:12" s="67" customFormat="1" ht="15.75" thickBot="1">
      <c r="B28" s="178" t="s">
        <v>67</v>
      </c>
      <c r="C28" s="408">
        <f>I28-F28-G28</f>
        <v>17</v>
      </c>
      <c r="D28" s="308">
        <v>28</v>
      </c>
      <c r="E28" s="311">
        <f>IF(AND(C28=0,D28=0),0,IF(OR(AND(C28&gt;0,D28&lt;=0),AND(C28&lt;0,D28&gt;=0)),"nm",IF(AND(C28&lt;0,D28&lt;0),IF(-(C28/D28-1)*100&lt;-100,"(&gt;100)",-(C28/D28-1)*100),IF((C28/D28-1)*100&gt;100,"&gt;100",(C28/D28-1)*100))))</f>
        <v>-39.28571428571429</v>
      </c>
      <c r="F28" s="308">
        <v>22</v>
      </c>
      <c r="G28" s="308">
        <v>27</v>
      </c>
      <c r="H28" s="327">
        <f>IF(AND(C28=0,F28=0),0,IF(OR(AND(C28&gt;0,F28&lt;=0),AND(C28&lt;0,F28&gt;=0)),"nm",IF(AND(C28&lt;0,F28&lt;0),IF(-(C28/F28-1)*100&lt;-100,"(&gt;100)",-(C28/F28-1)*100),IF((C28/F28-1)*100&gt;100,"&gt;100",(C28/F28-1)*100))))</f>
        <v>-22.72727272727273</v>
      </c>
      <c r="I28" s="387">
        <v>66</v>
      </c>
      <c r="J28" s="308">
        <v>103</v>
      </c>
      <c r="K28" s="327">
        <f>IF(AND(I28=0,J28=0),0,IF(OR(AND(I28&gt;0,J28&lt;=0),AND(I28&lt;0,J28&gt;=0)),"nm",IF(AND(I28&lt;0,J28&lt;0),IF(-(I28/J28-1)*100&lt;-100,"(&gt;100)",-(I28/J28-1)*100),IF((I28/J28-1)*100&gt;100,"&gt;100",(I28/J28-1)*100))))</f>
        <v>-35.922330097087375</v>
      </c>
      <c r="L28" s="282"/>
    </row>
    <row r="29" spans="2:12" s="67" customFormat="1" ht="15">
      <c r="B29" s="176" t="s">
        <v>352</v>
      </c>
      <c r="C29" s="385">
        <f>SUM(C27:C28)</f>
        <v>1067</v>
      </c>
      <c r="D29" s="247">
        <f>SUM(D27:D28)</f>
        <v>1076</v>
      </c>
      <c r="E29" s="306">
        <f>IF(AND(C29=0,D29=0),0,IF(OR(AND(C29&gt;0,D29&lt;=0),AND(C29&lt;0,D29&gt;=0)),"nm",IF(AND(C29&lt;0,D29&lt;0),IF(-(C29/D29-1)*100&lt;-100,"(&gt;100)",-(C29/D29-1)*100),IF((C29/D29-1)*100&gt;100,"&gt;100",(C29/D29-1)*100))))</f>
        <v>-0.8364312267657992</v>
      </c>
      <c r="F29" s="247">
        <f>SUM(F27:F28)</f>
        <v>1099</v>
      </c>
      <c r="G29" s="247">
        <v>1169</v>
      </c>
      <c r="H29" s="247">
        <f>IF(AND(C29=0,F29=0),0,IF(OR(AND(C29&gt;0,F29&lt;=0),AND(C29&lt;0,F29&gt;=0)),"nm",IF(AND(C29&lt;0,F29&lt;0),IF(-(C29/F29-1)*100&lt;-100,"(&gt;100)",-(C29/F29-1)*100),IF((C29/F29-1)*100&gt;100,"&gt;100",(C29/F29-1)*100))))</f>
        <v>-2.91173794358508</v>
      </c>
      <c r="I29" s="385">
        <f>SUM(I27:I28)</f>
        <v>3335</v>
      </c>
      <c r="J29" s="247">
        <f>SUM(J27:J28)</f>
        <v>3234</v>
      </c>
      <c r="K29" s="247">
        <f>IF(AND(I29=0,J29=0),0,IF(OR(AND(I29&gt;0,J29&lt;=0),AND(I29&lt;0,J29&gt;=0)),"nm",IF(AND(I29&lt;0,J29&lt;0),IF(-(I29/J29-1)*100&lt;-100,"(&gt;100)",-(I29/J29-1)*100),IF((I29/J29-1)*100&gt;100,"&gt;100",(I29/J29-1)*100))))</f>
        <v>3.123067408781699</v>
      </c>
      <c r="L29" s="282"/>
    </row>
    <row r="30" spans="2:12" s="67" customFormat="1" ht="15">
      <c r="B30" s="166"/>
      <c r="C30" s="146"/>
      <c r="D30" s="307"/>
      <c r="E30" s="306"/>
      <c r="F30" s="307"/>
      <c r="G30" s="307"/>
      <c r="H30" s="247"/>
      <c r="I30" s="307"/>
      <c r="J30" s="307"/>
      <c r="K30" s="247"/>
      <c r="L30" s="282"/>
    </row>
    <row r="31" spans="2:12" s="67" customFormat="1" ht="15.75" thickBot="1">
      <c r="B31" s="166" t="s">
        <v>68</v>
      </c>
      <c r="C31" s="408">
        <f>I31-F31-G31</f>
        <v>152</v>
      </c>
      <c r="D31" s="308">
        <v>165</v>
      </c>
      <c r="E31" s="306">
        <f>IF(AND(C31=0,D31=0),0,IF(OR(AND(C31&gt;0,D31&lt;=0),AND(C31&lt;0,D31&gt;=0)),"nm",IF(AND(C31&lt;0,D31&lt;0),IF(-(C31/D31-1)*100&lt;-100,"(&gt;100)",-(C31/D31-1)*100),IF((C31/D31-1)*100&gt;100,"&gt;100",(C31/D31-1)*100))))</f>
        <v>-7.878787878787874</v>
      </c>
      <c r="F31" s="308">
        <v>162</v>
      </c>
      <c r="G31" s="308">
        <v>167</v>
      </c>
      <c r="H31" s="247">
        <f>IF(AND(C31=0,F31=0),0,IF(OR(AND(C31&gt;0,F31&lt;=0),AND(C31&lt;0,F31&gt;=0)),"nm",IF(AND(C31&lt;0,F31&lt;0),IF(-(C31/F31-1)*100&lt;-100,"(&gt;100)",-(C31/F31-1)*100),IF((C31/F31-1)*100&gt;100,"&gt;100",(C31/F31-1)*100))))</f>
        <v>-6.172839506172845</v>
      </c>
      <c r="I31" s="387">
        <v>481</v>
      </c>
      <c r="J31" s="308">
        <v>478</v>
      </c>
      <c r="K31" s="327">
        <f>IF(AND(I31=0,J31=0),0,IF(OR(AND(I31&gt;0,J31&lt;=0),AND(I31&lt;0,J31&gt;=0)),"nm",IF(AND(I31&lt;0,J31&lt;0),IF(-(I31/J31-1)*100&lt;-100,"(&gt;100)",-(I31/J31-1)*100),IF((I31/J31-1)*100&gt;100,"&gt;100",(I31/J31-1)*100))))</f>
        <v>0.6276150627614996</v>
      </c>
      <c r="L31" s="282"/>
    </row>
    <row r="32" spans="2:12" s="67" customFormat="1" ht="15.75" thickBot="1">
      <c r="B32" s="176" t="s">
        <v>53</v>
      </c>
      <c r="C32" s="412">
        <f>C29-C31</f>
        <v>915</v>
      </c>
      <c r="D32" s="324">
        <f>D29-D31</f>
        <v>911</v>
      </c>
      <c r="E32" s="328">
        <f>IF(AND(C32=0,D32=0),0,IF(OR(AND(C32&gt;0,D32&lt;=0),AND(C32&lt;0,D32&gt;=0)),"nm",IF(AND(C32&lt;0,D32&lt;0),IF(-(C32/D32-1)*100&lt;-100,"(&gt;100)",-(C32/D32-1)*100),IF((C32/D32-1)*100&gt;100,"&gt;100",(C32/D32-1)*100))))</f>
        <v>0.4390779363337094</v>
      </c>
      <c r="F32" s="324">
        <f>F29-F31</f>
        <v>937</v>
      </c>
      <c r="G32" s="324">
        <v>1002</v>
      </c>
      <c r="H32" s="410">
        <f>IF(AND(C32=0,F32=0),0,IF(OR(AND(C32&gt;0,F32&lt;=0),AND(C32&lt;0,F32&gt;=0)),"nm",IF(AND(C32&lt;0,F32&lt;0),IF(-(C32/F32-1)*100&lt;-100,"(&gt;100)",-(C32/F32-1)*100),IF((C32/F32-1)*100&gt;100,"&gt;100",(C32/F32-1)*100))))</f>
        <v>-2.347918890074707</v>
      </c>
      <c r="I32" s="412">
        <f>I29-I31</f>
        <v>2854</v>
      </c>
      <c r="J32" s="324">
        <f>J29-J31</f>
        <v>2756</v>
      </c>
      <c r="K32" s="410">
        <f>IF(AND(I32=0,J32=0),0,IF(OR(AND(I32&gt;0,J32&lt;=0),AND(I32&lt;0,J32&gt;=0)),"nm",IF(AND(I32&lt;0,J32&lt;0),IF(-(I32/J32-1)*100&lt;-100,"(&gt;100)",-(I32/J32-1)*100),IF((I32/J32-1)*100&gt;100,"&gt;100",(I32/J32-1)*100))))</f>
        <v>3.555878084179964</v>
      </c>
      <c r="L32" s="282"/>
    </row>
    <row r="33" spans="2:12" s="67" customFormat="1" ht="15">
      <c r="B33" s="166"/>
      <c r="C33" s="386"/>
      <c r="D33" s="307"/>
      <c r="E33" s="306"/>
      <c r="F33" s="309"/>
      <c r="G33" s="309"/>
      <c r="H33" s="247"/>
      <c r="I33" s="307"/>
      <c r="J33" s="307"/>
      <c r="K33" s="247"/>
      <c r="L33" s="282"/>
    </row>
    <row r="34" spans="2:12" s="67" customFormat="1" ht="15">
      <c r="B34" s="166" t="s">
        <v>248</v>
      </c>
      <c r="C34" s="386"/>
      <c r="D34" s="307"/>
      <c r="E34" s="306"/>
      <c r="F34" s="309"/>
      <c r="G34" s="309"/>
      <c r="H34" s="247"/>
      <c r="I34" s="307"/>
      <c r="J34" s="307"/>
      <c r="K34" s="247"/>
      <c r="L34" s="282"/>
    </row>
    <row r="35" spans="2:12" s="67" customFormat="1" ht="15">
      <c r="B35" s="176" t="s">
        <v>249</v>
      </c>
      <c r="C35" s="386">
        <f>I35-F35-G35</f>
        <v>862</v>
      </c>
      <c r="D35" s="307">
        <v>856</v>
      </c>
      <c r="E35" s="306">
        <f>IF(AND(C35=0,D35=0),0,IF(OR(AND(C35&gt;0,D35&lt;=0),AND(C35&lt;0,D35&gt;=0)),"nm",IF(AND(C35&lt;0,D35&lt;0),IF(-(C35/D35-1)*100&lt;-100,"(&gt;100)",-(C35/D35-1)*100),IF((C35/D35-1)*100&gt;100,"&gt;100",(C35/D35-1)*100))))</f>
        <v>0.7009345794392496</v>
      </c>
      <c r="F35" s="307">
        <v>887</v>
      </c>
      <c r="G35" s="307">
        <v>950</v>
      </c>
      <c r="H35" s="247">
        <f>IF(AND(C35=0,F35=0),0,IF(OR(AND(C35&gt;0,F35&lt;=0),AND(C35&lt;0,F35&gt;=0)),"nm",IF(AND(C35&lt;0,F35&lt;0),IF(-(C35/F35-1)*100&lt;-100,"(&gt;100)",-(C35/F35-1)*100),IF((C35/F35-1)*100&gt;100,"&gt;100",(C35/F35-1)*100))))</f>
        <v>-2.8184892897407</v>
      </c>
      <c r="I35" s="385">
        <v>2699</v>
      </c>
      <c r="J35" s="309">
        <v>2599</v>
      </c>
      <c r="K35" s="247">
        <f>IF(AND(I35=0,J35=0),0,IF(OR(AND(I35&gt;0,J35&lt;=0),AND(I35&lt;0,J35&gt;=0)),"nm",IF(AND(I35&lt;0,J35&lt;0),IF(-(I35/J35-1)*100&lt;-100,"(&gt;100)",-(I35/J35-1)*100),IF((I35/J35-1)*100&gt;100,"&gt;100",(I35/J35-1)*100))))</f>
        <v>3.8476337052712584</v>
      </c>
      <c r="L35" s="282"/>
    </row>
    <row r="36" spans="2:12" s="67" customFormat="1" ht="15.75" thickBot="1">
      <c r="B36" s="176" t="s">
        <v>354</v>
      </c>
      <c r="C36" s="408">
        <f>I36-F36-G36</f>
        <v>53</v>
      </c>
      <c r="D36" s="308">
        <v>55</v>
      </c>
      <c r="E36" s="311">
        <f>IF(AND(C36=0,D36=0),0,IF(OR(AND(C36&gt;0,D36&lt;=0),AND(C36&lt;0,D36&gt;=0)),"nm",IF(AND(C36&lt;0,D36&lt;0),IF(-(C36/D36-1)*100&lt;-100,"(&gt;100)",-(C36/D36-1)*100),IF((C36/D36-1)*100&gt;100,"&gt;100",(C36/D36-1)*100))))</f>
        <v>-3.6363636363636376</v>
      </c>
      <c r="F36" s="308">
        <v>50</v>
      </c>
      <c r="G36" s="308">
        <v>52</v>
      </c>
      <c r="H36" s="327">
        <f>IF(AND(C36=0,F36=0),0,IF(OR(AND(C36&gt;0,F36&lt;=0),AND(C36&lt;0,F36&gt;=0)),"nm",IF(AND(C36&lt;0,F36&lt;0),IF(-(C36/F36-1)*100&lt;-100,"(&gt;100)",-(C36/F36-1)*100),IF((C36/F36-1)*100&gt;100,"&gt;100",(C36/F36-1)*100))))</f>
        <v>6.000000000000005</v>
      </c>
      <c r="I36" s="387">
        <v>155</v>
      </c>
      <c r="J36" s="308">
        <v>157</v>
      </c>
      <c r="K36" s="327">
        <f>IF(AND(I36=0,J36=0),0,IF(OR(AND(I36&gt;0,J36&lt;=0),AND(I36&lt;0,J36&gt;=0)),"nm",IF(AND(I36&lt;0,J36&lt;0),IF(-(I36/J36-1)*100&lt;-100,"(&gt;100)",-(I36/J36-1)*100),IF((I36/J36-1)*100&gt;100,"&gt;100",(I36/J36-1)*100))))</f>
        <v>-1.273885350318471</v>
      </c>
      <c r="L36" s="282"/>
    </row>
    <row r="37" spans="2:12" s="67" customFormat="1" ht="15.75" thickBot="1">
      <c r="B37" s="179"/>
      <c r="C37" s="387">
        <f>SUM(C35:C36)</f>
        <v>915</v>
      </c>
      <c r="D37" s="327">
        <f>SUM(D35:D36)</f>
        <v>911</v>
      </c>
      <c r="E37" s="311">
        <f>IF(AND(C37=0,D37=0),0,IF(OR(AND(C37&gt;0,D37&lt;=0),AND(C37&lt;0,D37&gt;=0)),"nm",IF(AND(C37&lt;0,D37&lt;0),IF(-(C37/D37-1)*100&lt;-100,"(&gt;100)",-(C37/D37-1)*100),IF((C37/D37-1)*100&gt;100,"&gt;100",(C37/D37-1)*100))))</f>
        <v>0.4390779363337094</v>
      </c>
      <c r="F37" s="327">
        <f>SUM(F35:F36)</f>
        <v>937</v>
      </c>
      <c r="G37" s="308">
        <v>1002</v>
      </c>
      <c r="H37" s="327">
        <f>IF(AND(C37=0,F37=0),0,IF(OR(AND(C37&gt;0,F37&lt;=0),AND(C37&lt;0,F37&gt;=0)),"nm",IF(AND(C37&lt;0,F37&lt;0),IF(-(C37/F37-1)*100&lt;-100,"(&gt;100)",-(C37/F37-1)*100),IF((C37/F37-1)*100&gt;100,"&gt;100",(C37/F37-1)*100))))</f>
        <v>-2.347918890074707</v>
      </c>
      <c r="I37" s="398">
        <f>SUM(I35:I36)</f>
        <v>2854</v>
      </c>
      <c r="J37" s="327">
        <f>SUM(J35:J36)</f>
        <v>2756</v>
      </c>
      <c r="K37" s="327">
        <f>IF(AND(I37=0,J37=0),0,IF(OR(AND(I37&gt;0,J37&lt;=0),AND(I37&lt;0,J37&gt;=0)),"nm",IF(AND(I37&lt;0,J37&lt;0),IF(-(I37/J37-1)*100&lt;-100,"(&gt;100)",-(I37/J37-1)*100),IF((I37/J37-1)*100&gt;100,"&gt;100",(I37/J37-1)*100))))</f>
        <v>3.555878084179964</v>
      </c>
      <c r="L37" s="282"/>
    </row>
    <row r="38" spans="2:11" s="67" customFormat="1" ht="15.75" thickBot="1">
      <c r="B38" s="180"/>
      <c r="C38" s="228"/>
      <c r="D38" s="537"/>
      <c r="E38" s="248"/>
      <c r="F38" s="537"/>
      <c r="G38" s="537"/>
      <c r="H38" s="248"/>
      <c r="I38" s="322"/>
      <c r="J38" s="215"/>
      <c r="K38" s="533"/>
    </row>
    <row r="39" spans="1:11" ht="15" thickTop="1">
      <c r="A39" s="80"/>
      <c r="B39" s="108"/>
      <c r="C39" s="520"/>
      <c r="D39" s="221"/>
      <c r="E39" s="216"/>
      <c r="F39" s="358"/>
      <c r="G39" s="358"/>
      <c r="H39" s="534"/>
      <c r="I39" s="359"/>
      <c r="J39" s="235"/>
      <c r="K39" s="534"/>
    </row>
    <row r="40" spans="1:11" ht="14.25">
      <c r="A40" s="80"/>
      <c r="B40" s="108"/>
      <c r="C40" s="521"/>
      <c r="D40" s="217"/>
      <c r="E40" s="216"/>
      <c r="F40" s="359"/>
      <c r="G40" s="359"/>
      <c r="H40" s="216"/>
      <c r="I40" s="359"/>
      <c r="J40" s="235"/>
      <c r="K40" s="534"/>
    </row>
    <row r="41" spans="1:11" ht="15">
      <c r="A41" s="109" t="s">
        <v>350</v>
      </c>
      <c r="B41" s="108"/>
      <c r="C41" s="521"/>
      <c r="D41" s="217"/>
      <c r="E41" s="216"/>
      <c r="F41" s="359"/>
      <c r="G41" s="359"/>
      <c r="H41" s="216"/>
      <c r="I41" s="359"/>
      <c r="J41" s="235"/>
      <c r="K41" s="240"/>
    </row>
    <row r="42" spans="1:11" ht="15" thickBot="1">
      <c r="A42" s="80"/>
      <c r="B42" s="108"/>
      <c r="C42" s="521"/>
      <c r="D42" s="217"/>
      <c r="E42" s="216"/>
      <c r="F42" s="359"/>
      <c r="G42" s="359"/>
      <c r="H42" s="216"/>
      <c r="I42" s="359"/>
      <c r="J42" s="235"/>
      <c r="K42" s="240"/>
    </row>
    <row r="43" spans="1:11" ht="15.75" customHeight="1" thickTop="1">
      <c r="A43" s="80"/>
      <c r="B43" s="172"/>
      <c r="C43" s="594" t="str">
        <f>C4</f>
        <v>3rd Qtr 2013</v>
      </c>
      <c r="D43" s="598" t="str">
        <f>D4</f>
        <v>3rd Qtr 2012</v>
      </c>
      <c r="E43" s="283" t="s">
        <v>239</v>
      </c>
      <c r="F43" s="594" t="str">
        <f>F4</f>
        <v>2nd Qtr 2013</v>
      </c>
      <c r="G43" s="594" t="s">
        <v>441</v>
      </c>
      <c r="H43" s="283" t="s">
        <v>239</v>
      </c>
      <c r="I43" s="594" t="s">
        <v>439</v>
      </c>
      <c r="J43" s="596" t="s">
        <v>440</v>
      </c>
      <c r="K43" s="276" t="s">
        <v>239</v>
      </c>
    </row>
    <row r="44" spans="1:11" ht="15.75" thickBot="1">
      <c r="A44" s="80"/>
      <c r="B44" s="173" t="s">
        <v>238</v>
      </c>
      <c r="C44" s="595"/>
      <c r="D44" s="599"/>
      <c r="E44" s="284" t="s">
        <v>240</v>
      </c>
      <c r="F44" s="595"/>
      <c r="G44" s="595"/>
      <c r="H44" s="284" t="s">
        <v>240</v>
      </c>
      <c r="I44" s="595"/>
      <c r="J44" s="597"/>
      <c r="K44" s="277" t="s">
        <v>240</v>
      </c>
    </row>
    <row r="45" spans="1:11" ht="15.75" thickTop="1">
      <c r="A45" s="80"/>
      <c r="B45" s="174"/>
      <c r="C45" s="227"/>
      <c r="D45" s="306"/>
      <c r="E45" s="247"/>
      <c r="F45" s="306"/>
      <c r="G45" s="306"/>
      <c r="H45" s="247"/>
      <c r="I45" s="307"/>
      <c r="J45" s="103"/>
      <c r="K45" s="135"/>
    </row>
    <row r="46" spans="1:11" ht="15">
      <c r="A46" s="80"/>
      <c r="B46" s="176" t="s">
        <v>53</v>
      </c>
      <c r="C46" s="227">
        <f>I46-F46-G46</f>
        <v>914.557243</v>
      </c>
      <c r="D46" s="306">
        <v>911</v>
      </c>
      <c r="E46" s="140">
        <f>IF(AND(C46=0,D46=0),0,IF(OR(AND(C46&gt;0,D46&lt;=0),AND(C46&lt;0,D46&gt;=0)),"nm",IF(AND(C46&lt;0,D46&lt;0),IF(-(C46/D46-1)*100&lt;-100,"(&gt;100)",-(C46/D46-1)*100),IF((C46/D46-1)*100&gt;100,"&gt;100",(C46/D46-1)*100))))</f>
        <v>0.39047672886938223</v>
      </c>
      <c r="F46" s="306">
        <v>937.442757</v>
      </c>
      <c r="G46" s="306">
        <v>1002</v>
      </c>
      <c r="H46" s="140">
        <f>IF(AND(C46=0,F46=0),0,IF(OR(AND(C46&gt;0,F46&lt;=0),AND(C46&lt;0,F46&gt;=0)),"nm",IF(AND(C46&lt;0,F46&lt;0),IF(-(C46/F46-1)*100&lt;-100,"(&gt;100)",-(C46/F46-1)*100),IF((C46/F46-1)*100&gt;100,"&gt;100",(C46/F46-1)*100))))</f>
        <v>-2.441270555360431</v>
      </c>
      <c r="I46" s="386">
        <v>2854</v>
      </c>
      <c r="J46" s="136">
        <v>2756</v>
      </c>
      <c r="K46" s="140">
        <f>IF(AND(I46=0,J46=0),0,IF(OR(AND(I46&gt;0,J46&lt;=0),AND(I46&lt;0,J46&gt;=0)),"nm",IF(AND(I46&lt;0,J46&lt;0),IF(-(I46/J46-1)*100&lt;-100,"(&gt;100)",-(I46/J46-1)*100),IF((I46/J46-1)*100&gt;100,"&gt;100",(I46/J46-1)*100))))</f>
        <v>3.555878084179964</v>
      </c>
    </row>
    <row r="47" spans="1:11" ht="15">
      <c r="A47" s="80"/>
      <c r="B47" s="176"/>
      <c r="C47" s="227"/>
      <c r="D47" s="306"/>
      <c r="E47" s="247"/>
      <c r="F47" s="306"/>
      <c r="G47" s="306"/>
      <c r="H47" s="247"/>
      <c r="I47" s="307"/>
      <c r="J47" s="307"/>
      <c r="K47" s="247"/>
    </row>
    <row r="48" spans="1:11" ht="15">
      <c r="A48" s="80"/>
      <c r="B48" s="176" t="s">
        <v>250</v>
      </c>
      <c r="C48" s="227"/>
      <c r="D48" s="306"/>
      <c r="E48" s="247"/>
      <c r="F48" s="306"/>
      <c r="G48" s="306"/>
      <c r="H48" s="247"/>
      <c r="I48" s="307"/>
      <c r="J48" s="103"/>
      <c r="K48" s="247"/>
    </row>
    <row r="49" spans="1:11" ht="29.25">
      <c r="A49" s="80"/>
      <c r="B49" s="166" t="s">
        <v>251</v>
      </c>
      <c r="C49" s="538">
        <f aca="true" t="shared" si="3" ref="C49:C66">I49-F49-G49</f>
        <v>-115</v>
      </c>
      <c r="D49" s="399">
        <v>-39</v>
      </c>
      <c r="E49" s="140" t="str">
        <f>IF(AND(C49=0,D49=0),0,IF(OR(AND(C49&gt;0,D49&lt;=0),AND(C49&lt;0,D49&gt;=0)),"nm",IF(AND(C49&lt;0,D49&lt;0),IF(-(C49/D49-1)*100&lt;-100,"(&gt;100)",-(C49/D49-1)*100),IF((C49/D49-1)*100&gt;100,"&gt;100",(C49/D49-1)*100))))</f>
        <v>(&gt;100)</v>
      </c>
      <c r="F49" s="399">
        <v>-29</v>
      </c>
      <c r="G49" s="399">
        <v>37</v>
      </c>
      <c r="H49" s="140" t="str">
        <f>IF(AND(C49=0,F49=0),0,IF(OR(AND(C49&gt;0,F49&lt;=0),AND(C49&lt;0,F49&gt;=0)),"nm",IF(AND(C49&lt;0,F49&lt;0),IF(-(C49/F49-1)*100&lt;-100,"(&gt;100)",-(C49/F49-1)*100),IF((C49/F49-1)*100&gt;100,"&gt;100",(C49/F49-1)*100))))</f>
        <v>(&gt;100)</v>
      </c>
      <c r="I49" s="539">
        <v>-107</v>
      </c>
      <c r="J49" s="135">
        <v>-84</v>
      </c>
      <c r="K49" s="140">
        <f>IF(AND(I49=0,J49=0),0,IF(OR(AND(I49&gt;0,J49&lt;=0),AND(I49&lt;0,J49&gt;=0)),"nm",IF(AND(I49&lt;0,J49&lt;0),IF(-(I49/J49-1)*100&lt;-100,"(&gt;100)",-(I49/J49-1)*100),IF((I49/J49-1)*100&gt;100,"&gt;100",(I49/J49-1)*100))))</f>
        <v>-27.380952380952372</v>
      </c>
    </row>
    <row r="50" spans="1:11" ht="29.25">
      <c r="A50" s="80"/>
      <c r="B50" s="166" t="s">
        <v>252</v>
      </c>
      <c r="C50" s="538">
        <f>I50-F50-G50</f>
        <v>-11</v>
      </c>
      <c r="D50" s="399">
        <v>-1</v>
      </c>
      <c r="E50" s="140" t="str">
        <f>IF(AND(C50=0,D50=0),0,IF(OR(AND(C50&gt;0,D50&lt;=0),AND(C50&lt;0,D50&gt;=0)),"nm",IF(AND(C50&lt;0,D50&lt;0),IF(-(C50/D50-1)*100&lt;-100,"(&gt;100)",-(C50/D50-1)*100),IF((C50/D50-1)*100&gt;100,"&gt;100",(C50/D50-1)*100))))</f>
        <v>(&gt;100)</v>
      </c>
      <c r="F50" s="399">
        <v>5</v>
      </c>
      <c r="G50" s="399">
        <v>2</v>
      </c>
      <c r="H50" s="140" t="str">
        <f>IF(AND(C50=0,F50=0),0,IF(OR(AND(C50&gt;0,F50&lt;=0),AND(C50&lt;0,F50&gt;=0)),"nm",IF(AND(C50&lt;0,F50&lt;0),IF(-(C50/F50-1)*100&lt;-100,"(&gt;100)",-(C50/F50-1)*100),IF((C50/F50-1)*100&gt;100,"&gt;100",(C50/F50-1)*100))))</f>
        <v>nm</v>
      </c>
      <c r="I50" s="540">
        <v>-4</v>
      </c>
      <c r="J50" s="135">
        <v>-8</v>
      </c>
      <c r="K50" s="140">
        <f>IF(AND(I50=0,J50=0),0,IF(OR(AND(I50&gt;0,J50&lt;=0),AND(I50&lt;0,J50&gt;=0)),"nm",IF(AND(I50&lt;0,J50&lt;0),IF(-(I50/J50-1)*100&lt;-100,"(&gt;100)",-(I50/J50-1)*100),IF((I50/J50-1)*100&gt;100,"&gt;100",(I50/J50-1)*100))))</f>
        <v>50</v>
      </c>
    </row>
    <row r="51" spans="1:11" ht="15">
      <c r="A51" s="80"/>
      <c r="B51" s="166" t="s">
        <v>375</v>
      </c>
      <c r="C51" s="538"/>
      <c r="D51" s="399"/>
      <c r="E51" s="247"/>
      <c r="F51" s="399"/>
      <c r="G51" s="399"/>
      <c r="H51" s="247"/>
      <c r="I51" s="307"/>
      <c r="J51" s="307"/>
      <c r="K51" s="140"/>
    </row>
    <row r="52" spans="1:11" ht="15">
      <c r="A52" s="80"/>
      <c r="B52" s="181" t="s">
        <v>253</v>
      </c>
      <c r="C52" s="538">
        <f t="shared" si="3"/>
        <v>70</v>
      </c>
      <c r="D52" s="399">
        <v>202</v>
      </c>
      <c r="E52" s="140">
        <f>IF(AND(C52=0,D52=0),0,IF(OR(AND(C52&gt;0,D52&lt;=0),AND(C52&lt;0,D52&gt;=0)),"nm",IF(AND(C52&lt;0,D52&lt;0),IF(-(C52/D52-1)*100&lt;-100,"(&gt;100)",-(C52/D52-1)*100),IF((C52/D52-1)*100&gt;100,"&gt;100",(C52/D52-1)*100))))</f>
        <v>-65.34653465346535</v>
      </c>
      <c r="F52" s="399">
        <v>-539</v>
      </c>
      <c r="G52" s="399">
        <v>54</v>
      </c>
      <c r="H52" s="140" t="str">
        <f>IF(AND(C52=0,F52=0),0,IF(OR(AND(C52&gt;0,F52&lt;=0),AND(C52&lt;0,F52&gt;=0)),"nm",IF(AND(C52&lt;0,F52&lt;0),IF(-(C52/F52-1)*100&lt;-100,"(&gt;100)",-(C52/F52-1)*100),IF((C52/F52-1)*100&gt;100,"&gt;100",(C52/F52-1)*100))))</f>
        <v>nm</v>
      </c>
      <c r="I52" s="227">
        <f>-415</f>
        <v>-415</v>
      </c>
      <c r="J52" s="449">
        <v>499</v>
      </c>
      <c r="K52" s="140" t="str">
        <f>IF(AND(I52=0,J52=0),0,IF(OR(AND(I52&gt;0,J52&lt;=0),AND(I52&lt;0,J52&gt;=0)),"nm",IF(AND(I52&lt;0,J52&lt;0),IF(-(I52/J52-1)*100&lt;-100,"(&gt;100)",-(I52/J52-1)*100),IF((I52/J52-1)*100&gt;100,"&gt;100",(I52/J52-1)*100))))</f>
        <v>nm</v>
      </c>
    </row>
    <row r="53" spans="1:11" ht="15">
      <c r="A53" s="80"/>
      <c r="B53" s="181" t="s">
        <v>372</v>
      </c>
      <c r="C53" s="538">
        <f t="shared" si="3"/>
        <v>-44</v>
      </c>
      <c r="D53" s="399">
        <v>-88</v>
      </c>
      <c r="E53" s="140">
        <f>IF(AND(C53=0,D53=0),0,IF(OR(AND(C53&gt;0,D53&lt;=0),AND(C53&lt;0,D53&gt;=0)),"nm",IF(AND(C53&lt;0,D53&lt;0),IF(-(C53/D53-1)*100&lt;-100,"(&gt;100)",-(C53/D53-1)*100),IF((C53/D53-1)*100&gt;100,"&gt;100",(C53/D53-1)*100))))</f>
        <v>50</v>
      </c>
      <c r="F53" s="399">
        <v>-26</v>
      </c>
      <c r="G53" s="399">
        <v>-55</v>
      </c>
      <c r="H53" s="140">
        <f>IF(AND(C53=0,F53=0),0,IF(OR(AND(C53&gt;0,F53&lt;=0),AND(C53&lt;0,F53&gt;=0)),"nm",IF(AND(C53&lt;0,F53&lt;0),IF(-(C53/F53-1)*100&lt;-100,"(&gt;100)",-(C53/F53-1)*100),IF((C53/F53-1)*100&gt;100,"&gt;100",(C53/F53-1)*100))))</f>
        <v>-69.23076923076923</v>
      </c>
      <c r="I53" s="227">
        <f>-125</f>
        <v>-125</v>
      </c>
      <c r="J53" s="72">
        <v>-247</v>
      </c>
      <c r="K53" s="140">
        <f>IF(AND(I53=0,J53=0),0,IF(OR(AND(I53&gt;0,J53&lt;=0),AND(I53&lt;0,J53&gt;=0)),"nm",IF(AND(I53&lt;0,J53&lt;0),IF(-(I53/J53-1)*100&lt;-100,"(&gt;100)",-(I53/J53-1)*100),IF((I53/J53-1)*100&gt;100,"&gt;100",(I53/J53-1)*100))))</f>
        <v>49.392712550607285</v>
      </c>
    </row>
    <row r="54" spans="1:11" ht="29.25">
      <c r="A54" s="80"/>
      <c r="B54" s="182" t="s">
        <v>254</v>
      </c>
      <c r="C54" s="538">
        <f t="shared" si="3"/>
        <v>-4</v>
      </c>
      <c r="D54" s="399">
        <v>-16</v>
      </c>
      <c r="E54" s="140">
        <f>IF(AND(C54=0,D54=0),0,IF(OR(AND(C54&gt;0,D54&lt;=0),AND(C54&lt;0,D54&gt;=0)),"nm",IF(AND(C54&lt;0,D54&lt;0),IF(-(C54/D54-1)*100&lt;-100,"(&gt;100)",-(C54/D54-1)*100),IF((C54/D54-1)*100&gt;100,"&gt;100",(C54/D54-1)*100))))</f>
        <v>75</v>
      </c>
      <c r="F54" s="399">
        <v>41</v>
      </c>
      <c r="G54" s="399">
        <v>-9</v>
      </c>
      <c r="H54" s="140" t="str">
        <f>IF(AND(C54=0,F54=0),0,IF(OR(AND(C54&gt;0,F54&lt;=0),AND(C54&lt;0,F54&gt;=0)),"nm",IF(AND(C54&lt;0,F54&lt;0),IF(-(C54/F54-1)*100&lt;-100,"(&gt;100)",-(C54/F54-1)*100),IF((C54/F54-1)*100&gt;100,"&gt;100",(C54/F54-1)*100))))</f>
        <v>nm</v>
      </c>
      <c r="I54" s="541">
        <v>28</v>
      </c>
      <c r="J54" s="260">
        <v>-34</v>
      </c>
      <c r="K54" s="140" t="str">
        <f>IF(AND(I54=0,J54=0),0,IF(OR(AND(I54&gt;0,J54&lt;=0),AND(I54&lt;0,J54&gt;=0)),"nm",IF(AND(I54&lt;0,J54&lt;0),IF(-(I54/J54-1)*100&lt;-100,"(&gt;100)",-(I54/J54-1)*100),IF((I54/J54-1)*100&gt;100,"&gt;100",(I54/J54-1)*100))))</f>
        <v>nm</v>
      </c>
    </row>
    <row r="55" spans="1:11" ht="15">
      <c r="A55" s="80"/>
      <c r="B55" s="166" t="s">
        <v>360</v>
      </c>
      <c r="C55" s="17">
        <f t="shared" si="3"/>
        <v>0</v>
      </c>
      <c r="D55" s="121"/>
      <c r="E55" s="140"/>
      <c r="F55" s="121"/>
      <c r="G55" s="121"/>
      <c r="H55" s="140"/>
      <c r="I55" s="541"/>
      <c r="J55" s="260"/>
      <c r="K55" s="140"/>
    </row>
    <row r="56" spans="1:11" ht="15">
      <c r="A56" s="80"/>
      <c r="B56" s="181" t="s">
        <v>253</v>
      </c>
      <c r="C56" s="541">
        <f t="shared" si="3"/>
        <v>5</v>
      </c>
      <c r="D56" s="351">
        <v>1</v>
      </c>
      <c r="E56" s="140" t="str">
        <f>IF(AND(C56=0,D56=0),0,IF(OR(AND(C56&gt;0,D56&lt;=0),AND(C56&lt;0,D56&gt;=0)),"nm",IF(AND(C56&lt;0,D56&lt;0),IF(-(C56/D56-1)*100&lt;-100,"(&gt;100)",-(C56/D56-1)*100),IF((C56/D56-1)*100&gt;100,"&gt;100",(C56/D56-1)*100))))</f>
        <v>&gt;100</v>
      </c>
      <c r="F56" s="351">
        <v>-18</v>
      </c>
      <c r="G56" s="351">
        <v>-15</v>
      </c>
      <c r="H56" s="140" t="str">
        <f>IF(AND(C56=0,F56=0),0,IF(OR(AND(C56&gt;0,F56&lt;=0),AND(C56&lt;0,F56&gt;=0)),"nm",IF(AND(C56&lt;0,F56&lt;0),IF(-(C56/F56-1)*100&lt;-100,"(&gt;100)",-(C56/F56-1)*100),IF((C56/F56-1)*100&gt;100,"&gt;100",(C56/F56-1)*100))))</f>
        <v>nm</v>
      </c>
      <c r="I56" s="541">
        <v>-28</v>
      </c>
      <c r="J56" s="260">
        <v>22</v>
      </c>
      <c r="K56" s="140" t="str">
        <f>IF(AND(I56=0,J56=0),0,IF(OR(AND(I56&gt;0,J56&lt;=0),AND(I56&lt;0,J56&gt;=0)),"nm",IF(AND(I56&lt;0,J56&lt;0),IF(-(I56/J56-1)*100&lt;-100,"(&gt;100)",-(I56/J56-1)*100),IF((I56/J56-1)*100&gt;100,"&gt;100",(I56/J56-1)*100))))</f>
        <v>nm</v>
      </c>
    </row>
    <row r="57" spans="1:11" ht="15">
      <c r="A57" s="80"/>
      <c r="B57" s="181" t="s">
        <v>372</v>
      </c>
      <c r="C57" s="541">
        <f t="shared" si="3"/>
        <v>7</v>
      </c>
      <c r="D57" s="351">
        <v>3</v>
      </c>
      <c r="E57" s="140" t="str">
        <f>IF(AND(C57=0,D57=0),0,IF(OR(AND(C57&gt;0,D57&lt;=0),AND(C57&lt;0,D57&gt;=0)),"nm",IF(AND(C57&lt;0,D57&lt;0),IF(-(C57/D57-1)*100&lt;-100,"(&gt;100)",-(C57/D57-1)*100),IF((C57/D57-1)*100&gt;100,"&gt;100",(C57/D57-1)*100))))</f>
        <v>&gt;100</v>
      </c>
      <c r="F57" s="351">
        <v>6</v>
      </c>
      <c r="G57" s="351">
        <v>3</v>
      </c>
      <c r="H57" s="140">
        <f>IF(AND(C57=0,F57=0),0,IF(OR(AND(C57&gt;0,F57&lt;=0),AND(C57&lt;0,F57&gt;=0)),"nm",IF(AND(C57&lt;0,F57&lt;0),IF(-(C57/F57-1)*100&lt;-100,"(&gt;100)",-(C57/F57-1)*100),IF((C57/F57-1)*100&gt;100,"&gt;100",(C57/F57-1)*100))))</f>
        <v>16.666666666666675</v>
      </c>
      <c r="I57" s="385">
        <v>16</v>
      </c>
      <c r="J57" s="415">
        <v>0</v>
      </c>
      <c r="K57" s="140" t="str">
        <f>IF(AND(I57=0,J57=0),0,IF(OR(AND(I57&gt;0,J57&lt;=0),AND(I57&lt;0,J57&gt;=0)),"nm",IF(AND(I57&lt;0,J57&lt;0),IF(-(I57/J57-1)*100&lt;-100,"(&gt;100)",-(I57/J57-1)*100),IF((I57/J57-1)*100&gt;100,"&gt;100",(I57/J57-1)*100))))</f>
        <v>nm</v>
      </c>
    </row>
    <row r="58" spans="1:11" ht="30" thickBot="1">
      <c r="A58" s="80"/>
      <c r="B58" s="182" t="s">
        <v>254</v>
      </c>
      <c r="C58" s="542">
        <f t="shared" si="3"/>
        <v>-1</v>
      </c>
      <c r="D58" s="311">
        <v>-1</v>
      </c>
      <c r="E58" s="325">
        <f>IF(AND(C58=0,D58=0),0,IF(OR(AND(C58&gt;0,D58&lt;=0),AND(C58&lt;0,D58&gt;=0)),"nm",IF(AND(C58&lt;0,D58&lt;0),IF(-(C58/D58-1)*100&lt;-100,"(&gt;100)",-(C58/D58-1)*100),IF((C58/D58-1)*100&gt;100,"&gt;100",(C58/D58-1)*100))))</f>
        <v>0</v>
      </c>
      <c r="F58" s="311">
        <v>2</v>
      </c>
      <c r="G58" s="311">
        <v>1</v>
      </c>
      <c r="H58" s="325" t="str">
        <f>IF(AND(C58=0,F58=0),0,IF(OR(AND(C58&gt;0,F58&lt;=0),AND(C58&lt;0,F58&gt;=0)),"nm",IF(AND(C58&lt;0,F58&lt;0),IF(-(C58/F58-1)*100&lt;-100,"(&gt;100)",-(C58/F58-1)*100),IF((C58/F58-1)*100&gt;100,"&gt;100",(C58/F58-1)*100))))</f>
        <v>nm</v>
      </c>
      <c r="I58" s="542">
        <v>2</v>
      </c>
      <c r="J58" s="220">
        <v>-3</v>
      </c>
      <c r="K58" s="325" t="str">
        <f>IF(AND(I58=0,J58=0),0,IF(OR(AND(I58&gt;0,J58&lt;=0),AND(I58&lt;0,J58&gt;=0)),"nm",IF(AND(I58&lt;0,J58&lt;0),IF(-(I58/J58-1)*100&lt;-100,"(&gt;100)",-(I58/J58-1)*100),IF((I58/J58-1)*100&gt;100,"&gt;100",(I58/J58-1)*100))))</f>
        <v>nm</v>
      </c>
    </row>
    <row r="59" spans="1:11" ht="15">
      <c r="A59" s="80"/>
      <c r="B59" s="176" t="s">
        <v>255</v>
      </c>
      <c r="C59" s="227">
        <f t="shared" si="3"/>
        <v>-93</v>
      </c>
      <c r="D59" s="306">
        <v>61</v>
      </c>
      <c r="E59" s="140" t="str">
        <f>IF(AND(C59=0,D59=0),0,IF(OR(AND(C59&gt;0,D59&lt;=0),AND(C59&lt;0,D59&gt;=0)),"nm",IF(AND(C59&lt;0,D59&lt;0),IF(-(C59/D59-1)*100&lt;-100,"(&gt;100)",-(C59/D59-1)*100),IF((C59/D59-1)*100&gt;100,"&gt;100",(C59/D59-1)*100))))</f>
        <v>nm</v>
      </c>
      <c r="F59" s="306">
        <v>-558</v>
      </c>
      <c r="G59" s="306">
        <v>18</v>
      </c>
      <c r="H59" s="140">
        <f>IF(AND(C59=0,F59=0),0,IF(OR(AND(C59&gt;0,F59&lt;=0),AND(C59&lt;0,F59&gt;=0)),"nm",IF(AND(C59&lt;0,F59&lt;0),IF(-(C59/F59-1)*100&lt;-100,"(&gt;100)",-(C59/F59-1)*100),IF((C59/F59-1)*100&gt;100,"&gt;100",(C59/F59-1)*100))))</f>
        <v>83.33333333333334</v>
      </c>
      <c r="I59" s="227">
        <f>SUM(I49:I58)</f>
        <v>-633</v>
      </c>
      <c r="J59" s="72">
        <v>145</v>
      </c>
      <c r="K59" s="140" t="str">
        <f>IF(AND(I59=0,J59=0),0,IF(OR(AND(I59&gt;0,J59&lt;=0),AND(I59&lt;0,J59&gt;=0)),"nm",IF(AND(I59&lt;0,J59&lt;0),IF(-(I59/J59-1)*100&lt;-100,"(&gt;100)",-(I59/J59-1)*100),IF((I59/J59-1)*100&gt;100,"&gt;100",(I59/J59-1)*100))))</f>
        <v>nm</v>
      </c>
    </row>
    <row r="60" spans="1:11" ht="15.75" thickBot="1">
      <c r="A60" s="80"/>
      <c r="B60" s="166"/>
      <c r="C60" s="227"/>
      <c r="D60" s="306"/>
      <c r="E60" s="327"/>
      <c r="F60" s="306"/>
      <c r="G60" s="306"/>
      <c r="H60" s="327"/>
      <c r="I60" s="307"/>
      <c r="J60" s="307"/>
      <c r="K60" s="327"/>
    </row>
    <row r="61" spans="1:11" ht="16.5" customHeight="1" thickBot="1">
      <c r="A61" s="80"/>
      <c r="B61" s="176" t="s">
        <v>256</v>
      </c>
      <c r="C61" s="543">
        <f>I61-F61-G61</f>
        <v>821.557243</v>
      </c>
      <c r="D61" s="328">
        <v>972</v>
      </c>
      <c r="E61" s="325">
        <f>IF(AND(C61=0,D61=0),0,IF(OR(AND(C61&gt;0,D61&lt;=0),AND(C61&lt;0,D61&gt;=0)),"nm",IF(AND(C61&lt;0,D61&lt;0),IF(-(C61/D61-1)*100&lt;-100,"(&gt;100)",-(C61/D61-1)*100),IF((C61/D61-1)*100&gt;100,"&gt;100",(C61/D61-1)*100))))</f>
        <v>-15.477649897119349</v>
      </c>
      <c r="F61" s="328">
        <v>379.44275700000003</v>
      </c>
      <c r="G61" s="311">
        <v>1020</v>
      </c>
      <c r="H61" s="325" t="str">
        <f>IF(AND(C61=0,F61=0),0,IF(OR(AND(C61&gt;0,F61&lt;=0),AND(C61&lt;0,F61&gt;=0)),"nm",IF(AND(C61&lt;0,F61&lt;0),IF(-(C61/F61-1)*100&lt;-100,"(&gt;100)",-(C61/F61-1)*100),IF((C61/F61-1)*100&gt;100,"&gt;100",(C61/F61-1)*100))))</f>
        <v>&gt;100</v>
      </c>
      <c r="I61" s="544">
        <f>I46+I59</f>
        <v>2221</v>
      </c>
      <c r="J61" s="328">
        <v>2901</v>
      </c>
      <c r="K61" s="325">
        <f>IF(AND(I61=0,J61=0),0,IF(OR(AND(I61&gt;0,J61&lt;=0),AND(I61&lt;0,J61&gt;=0)),"nm",IF(AND(I61&lt;0,J61&lt;0),IF(-(I61/J61-1)*100&lt;-100,"(&gt;100)",-(I61/J61-1)*100),IF((I61/J61-1)*100&gt;100,"&gt;100",(I61/J61-1)*100))))</f>
        <v>-23.440193036883837</v>
      </c>
    </row>
    <row r="62" spans="1:11" ht="15">
      <c r="A62" s="80"/>
      <c r="B62" s="166"/>
      <c r="C62" s="227"/>
      <c r="D62" s="306"/>
      <c r="E62" s="247"/>
      <c r="F62" s="306"/>
      <c r="G62" s="306"/>
      <c r="H62" s="247"/>
      <c r="I62" s="307"/>
      <c r="J62" s="103"/>
      <c r="K62" s="305"/>
    </row>
    <row r="63" spans="1:11" ht="15">
      <c r="A63" s="80"/>
      <c r="B63" s="166" t="s">
        <v>248</v>
      </c>
      <c r="C63" s="227"/>
      <c r="D63" s="306"/>
      <c r="E63" s="247"/>
      <c r="F63" s="306"/>
      <c r="G63" s="306"/>
      <c r="H63" s="247"/>
      <c r="I63" s="307"/>
      <c r="J63" s="307"/>
      <c r="K63" s="305"/>
    </row>
    <row r="64" spans="1:11" ht="15">
      <c r="A64" s="80"/>
      <c r="B64" s="176" t="s">
        <v>249</v>
      </c>
      <c r="C64" s="227">
        <f t="shared" si="3"/>
        <v>772</v>
      </c>
      <c r="D64" s="306">
        <v>917</v>
      </c>
      <c r="E64" s="140">
        <f>IF(AND(C64=0,D64=0),0,IF(OR(AND(C64&gt;0,D64&lt;=0),AND(C64&lt;0,D64&gt;=0)),"nm",IF(AND(C64&lt;0,D64&lt;0),IF(-(C64/D64-1)*100&lt;-100,"(&gt;100)",-(C64/D64-1)*100),IF((C64/D64-1)*100&gt;100,"&gt;100",(C64/D64-1)*100))))</f>
        <v>-15.812431842966191</v>
      </c>
      <c r="F64" s="306">
        <v>325</v>
      </c>
      <c r="G64" s="306">
        <v>966</v>
      </c>
      <c r="H64" s="140" t="str">
        <f>IF(AND(C64=0,F64=0),0,IF(OR(AND(C64&gt;0,F64&lt;=0),AND(C64&lt;0,F64&gt;=0)),"nm",IF(AND(C64&lt;0,F64&lt;0),IF(-(C64/F64-1)*100&lt;-100,"(&gt;100)",-(C64/F64-1)*100),IF((C64/F64-1)*100&gt;100,"&gt;100",(C64/F64-1)*100))))</f>
        <v>&gt;100</v>
      </c>
      <c r="I64" s="386">
        <v>2063</v>
      </c>
      <c r="J64" s="309">
        <v>2756</v>
      </c>
      <c r="K64" s="140">
        <f>IF(AND(I64=0,J64=0),0,IF(OR(AND(I64&gt;0,J64&lt;=0),AND(I64&lt;0,J64&gt;=0)),"nm",IF(AND(I64&lt;0,J64&lt;0),IF(-(I64/J64-1)*100&lt;-100,"(&gt;100)",-(I64/J64-1)*100),IF((I64/J64-1)*100&gt;100,"&gt;100",(I64/J64-1)*100))))</f>
        <v>-25.145137880986933</v>
      </c>
    </row>
    <row r="65" spans="1:11" ht="15.75" thickBot="1">
      <c r="A65" s="80"/>
      <c r="B65" s="176" t="s">
        <v>354</v>
      </c>
      <c r="C65" s="542">
        <f t="shared" si="3"/>
        <v>50.13786699999969</v>
      </c>
      <c r="D65" s="311">
        <v>55</v>
      </c>
      <c r="E65" s="325">
        <f>IF(AND(C65=0,D65=0),0,IF(OR(AND(C65&gt;0,D65&lt;=0),AND(C65&lt;0,D65&gt;=0)),"nm",IF(AND(C65&lt;0,D65&lt;0),IF(-(C65/D65-1)*100&lt;-100,"(&gt;100)",-(C65/D65-1)*100),IF((C65/D65-1)*100&gt;100,"&gt;100",(C65/D65-1)*100))))</f>
        <v>-8.840241818182381</v>
      </c>
      <c r="F65" s="311">
        <v>54</v>
      </c>
      <c r="G65" s="311">
        <v>54</v>
      </c>
      <c r="H65" s="325">
        <f>IF(AND(C65=0,F65=0),0,IF(OR(AND(C65&gt;0,F65&lt;=0),AND(C65&lt;0,F65&gt;=0)),"nm",IF(AND(C65&lt;0,F65&lt;0),IF(-(C65/F65-1)*100&lt;-100,"(&gt;100)",-(C65/F65-1)*100),IF((C65/F65-1)*100&gt;100,"&gt;100",(C65/F65-1)*100))))</f>
        <v>-7.152098148148722</v>
      </c>
      <c r="I65" s="545">
        <v>158.1378669999997</v>
      </c>
      <c r="J65" s="308">
        <v>145</v>
      </c>
      <c r="K65" s="325">
        <f>IF(AND(I65=0,J65=0),0,IF(OR(AND(I65&gt;0,J65&lt;=0),AND(I65&lt;0,J65&gt;=0)),"nm",IF(AND(I65&lt;0,J65&lt;0),IF(-(I65/J65-1)*100&lt;-100,"(&gt;100)",-(I65/J65-1)*100),IF((I65/J65-1)*100&gt;100,"&gt;100",(I65/J65-1)*100))))</f>
        <v>9.060597931034264</v>
      </c>
    </row>
    <row r="66" spans="1:11" ht="15.75" thickBot="1">
      <c r="A66" s="80"/>
      <c r="B66" s="179"/>
      <c r="C66" s="542">
        <f t="shared" si="3"/>
        <v>822.1378669999995</v>
      </c>
      <c r="D66" s="311">
        <v>972</v>
      </c>
      <c r="E66" s="325">
        <f>IF(AND(C66=0,D66=0),0,IF(OR(AND(C66&gt;0,D66&lt;=0),AND(C66&lt;0,D66&gt;=0)),"nm",IF(AND(C66&lt;0,D66&lt;0),IF(-(C66/D66-1)*100&lt;-100,"(&gt;100)",-(C66/D66-1)*100),IF((C66/D66-1)*100&gt;100,"&gt;100",(C66/D66-1)*100))))</f>
        <v>-15.41791491769553</v>
      </c>
      <c r="F66" s="311">
        <v>379</v>
      </c>
      <c r="G66" s="311">
        <v>1020</v>
      </c>
      <c r="H66" s="325" t="str">
        <f>IF(AND(C66=0,F66=0),0,IF(OR(AND(C66&gt;0,F66&lt;=0),AND(C66&lt;0,F66&gt;=0)),"nm",IF(AND(C66&lt;0,F66&lt;0),IF(-(C66/F66-1)*100&lt;-100,"(&gt;100)",-(C66/F66-1)*100),IF((C66/F66-1)*100&gt;100,"&gt;100",(C66/F66-1)*100))))</f>
        <v>&gt;100</v>
      </c>
      <c r="I66" s="542">
        <f>SUM(I64:I65)</f>
        <v>2221.1378669999995</v>
      </c>
      <c r="J66" s="311">
        <v>2901</v>
      </c>
      <c r="K66" s="325">
        <f>IF(AND(I66=0,J66=0),0,IF(OR(AND(I66&gt;0,J66&lt;=0),AND(I66&lt;0,J66&gt;=0)),"nm",IF(AND(I66&lt;0,J66&lt;0),IF(-(I66/J66-1)*100&lt;-100,"(&gt;100)",-(I66/J66-1)*100),IF((I66/J66-1)*100&gt;100,"&gt;100",(I66/J66-1)*100))))</f>
        <v>-23.435440641158245</v>
      </c>
    </row>
    <row r="67" spans="1:11" ht="15.75" thickBot="1">
      <c r="A67" s="80"/>
      <c r="B67" s="183"/>
      <c r="C67" s="519"/>
      <c r="D67" s="222"/>
      <c r="E67" s="239"/>
      <c r="F67" s="447"/>
      <c r="G67" s="447"/>
      <c r="H67" s="239"/>
      <c r="I67" s="363"/>
      <c r="J67" s="184"/>
      <c r="K67" s="239"/>
    </row>
    <row r="68" spans="1:11" ht="15" thickTop="1">
      <c r="A68" s="80"/>
      <c r="B68" s="80"/>
      <c r="C68" s="521"/>
      <c r="D68" s="235"/>
      <c r="E68" s="240"/>
      <c r="F68" s="359"/>
      <c r="G68" s="359"/>
      <c r="H68" s="216"/>
      <c r="I68" s="364"/>
      <c r="J68" s="236"/>
      <c r="K68" s="216"/>
    </row>
    <row r="69" spans="1:11" ht="14.25">
      <c r="A69" s="80"/>
      <c r="B69" s="80"/>
      <c r="C69" s="521"/>
      <c r="D69" s="235"/>
      <c r="E69" s="240"/>
      <c r="F69" s="359"/>
      <c r="G69" s="359"/>
      <c r="H69" s="216"/>
      <c r="I69" s="364"/>
      <c r="J69" s="214"/>
      <c r="K69" s="240"/>
    </row>
    <row r="70" spans="1:11" ht="14.25">
      <c r="A70" s="80"/>
      <c r="B70" s="80"/>
      <c r="C70" s="359"/>
      <c r="D70" s="235"/>
      <c r="E70" s="240"/>
      <c r="F70" s="359"/>
      <c r="G70" s="359"/>
      <c r="H70" s="216"/>
      <c r="I70" s="364"/>
      <c r="J70" s="214"/>
      <c r="K70" s="240"/>
    </row>
    <row r="71" spans="1:11" ht="14.25">
      <c r="A71" s="80"/>
      <c r="B71" s="80"/>
      <c r="C71" s="359"/>
      <c r="D71" s="217"/>
      <c r="E71" s="216"/>
      <c r="F71" s="359"/>
      <c r="G71" s="359"/>
      <c r="H71" s="216"/>
      <c r="I71" s="364"/>
      <c r="J71" s="214"/>
      <c r="K71" s="240"/>
    </row>
    <row r="72" spans="1:11" ht="14.25">
      <c r="A72" s="80"/>
      <c r="B72" s="80"/>
      <c r="C72" s="359"/>
      <c r="D72" s="217"/>
      <c r="E72" s="216"/>
      <c r="F72" s="359"/>
      <c r="G72" s="359"/>
      <c r="H72" s="216"/>
      <c r="I72" s="364"/>
      <c r="J72" s="214"/>
      <c r="K72" s="240"/>
    </row>
    <row r="73" spans="3:11" ht="12.75">
      <c r="C73" s="360"/>
      <c r="D73" s="223"/>
      <c r="E73" s="249"/>
      <c r="F73" s="360"/>
      <c r="G73" s="360"/>
      <c r="H73" s="249"/>
      <c r="I73" s="365"/>
      <c r="J73" s="237"/>
      <c r="K73" s="241"/>
    </row>
    <row r="74" spans="3:11" ht="12.75">
      <c r="C74" s="360"/>
      <c r="D74" s="223"/>
      <c r="E74" s="249"/>
      <c r="F74" s="360"/>
      <c r="G74" s="360"/>
      <c r="H74" s="249"/>
      <c r="I74" s="365"/>
      <c r="J74" s="237"/>
      <c r="K74" s="241"/>
    </row>
    <row r="75" spans="3:11" ht="12.75">
      <c r="C75" s="360"/>
      <c r="D75" s="223"/>
      <c r="E75" s="249"/>
      <c r="F75" s="360"/>
      <c r="G75" s="360"/>
      <c r="H75" s="249"/>
      <c r="I75" s="365"/>
      <c r="J75" s="237"/>
      <c r="K75" s="241"/>
    </row>
    <row r="76" spans="3:11" ht="12.75">
      <c r="C76" s="360"/>
      <c r="D76" s="223"/>
      <c r="E76" s="249"/>
      <c r="F76" s="360"/>
      <c r="G76" s="360"/>
      <c r="H76" s="249"/>
      <c r="I76" s="365"/>
      <c r="J76" s="237"/>
      <c r="K76" s="241"/>
    </row>
    <row r="77" spans="3:11" ht="12.75">
      <c r="C77" s="360"/>
      <c r="D77" s="223"/>
      <c r="E77" s="249"/>
      <c r="F77" s="360"/>
      <c r="G77" s="360"/>
      <c r="H77" s="249"/>
      <c r="I77" s="365"/>
      <c r="J77" s="237"/>
      <c r="K77" s="241"/>
    </row>
    <row r="78" spans="3:11" ht="12.75">
      <c r="C78" s="360"/>
      <c r="D78" s="223"/>
      <c r="E78" s="249"/>
      <c r="F78" s="360"/>
      <c r="G78" s="360"/>
      <c r="H78" s="249"/>
      <c r="I78" s="237"/>
      <c r="J78" s="237"/>
      <c r="K78" s="241"/>
    </row>
    <row r="79" spans="3:11" ht="12.75">
      <c r="C79" s="360"/>
      <c r="D79" s="223"/>
      <c r="E79" s="249"/>
      <c r="F79" s="360"/>
      <c r="G79" s="360"/>
      <c r="H79" s="249"/>
      <c r="I79" s="237"/>
      <c r="J79" s="237"/>
      <c r="K79" s="241"/>
    </row>
    <row r="80" spans="3:11" ht="12.75">
      <c r="C80" s="360"/>
      <c r="D80" s="223"/>
      <c r="E80" s="249"/>
      <c r="F80" s="360"/>
      <c r="G80" s="360"/>
      <c r="H80" s="249"/>
      <c r="I80" s="237"/>
      <c r="J80" s="237"/>
      <c r="K80" s="241"/>
    </row>
    <row r="81" spans="3:11" ht="12.75">
      <c r="C81" s="360"/>
      <c r="D81" s="223"/>
      <c r="E81" s="249"/>
      <c r="F81" s="360"/>
      <c r="G81" s="360"/>
      <c r="H81" s="249"/>
      <c r="I81" s="237"/>
      <c r="J81" s="237"/>
      <c r="K81" s="237"/>
    </row>
    <row r="82" spans="3:11" ht="12.75">
      <c r="C82" s="360"/>
      <c r="D82" s="223"/>
      <c r="E82" s="249"/>
      <c r="F82" s="360"/>
      <c r="G82" s="360"/>
      <c r="H82" s="249"/>
      <c r="I82" s="237"/>
      <c r="J82" s="237"/>
      <c r="K82" s="237"/>
    </row>
    <row r="83" spans="3:11" ht="12.75">
      <c r="C83" s="360"/>
      <c r="D83" s="223"/>
      <c r="E83" s="249"/>
      <c r="F83" s="360"/>
      <c r="G83" s="360"/>
      <c r="H83" s="249"/>
      <c r="I83" s="237"/>
      <c r="J83" s="237"/>
      <c r="K83" s="237"/>
    </row>
    <row r="84" spans="3:11" ht="12.75">
      <c r="C84" s="360"/>
      <c r="D84" s="223"/>
      <c r="E84" s="249"/>
      <c r="F84" s="360"/>
      <c r="G84" s="360"/>
      <c r="H84" s="249"/>
      <c r="I84" s="237"/>
      <c r="J84" s="237"/>
      <c r="K84" s="237"/>
    </row>
    <row r="85" spans="3:11" ht="12.75">
      <c r="C85" s="360"/>
      <c r="D85" s="223"/>
      <c r="E85" s="249"/>
      <c r="F85" s="360"/>
      <c r="G85" s="360"/>
      <c r="H85" s="249"/>
      <c r="I85" s="237"/>
      <c r="J85" s="237"/>
      <c r="K85" s="237"/>
    </row>
    <row r="86" spans="3:11" ht="12.75">
      <c r="C86" s="360"/>
      <c r="D86" s="223"/>
      <c r="E86" s="249"/>
      <c r="F86" s="360"/>
      <c r="G86" s="360"/>
      <c r="H86" s="249"/>
      <c r="I86" s="237"/>
      <c r="J86" s="237"/>
      <c r="K86" s="237"/>
    </row>
    <row r="87" spans="3:11" ht="12.75">
      <c r="C87" s="360"/>
      <c r="D87" s="223"/>
      <c r="E87" s="249"/>
      <c r="F87" s="360"/>
      <c r="G87" s="360"/>
      <c r="H87" s="249"/>
      <c r="I87" s="237"/>
      <c r="J87" s="237"/>
      <c r="K87" s="237"/>
    </row>
    <row r="88" spans="3:11" ht="12.75">
      <c r="C88" s="360"/>
      <c r="D88" s="223"/>
      <c r="E88" s="249"/>
      <c r="F88" s="360"/>
      <c r="G88" s="360"/>
      <c r="H88" s="249"/>
      <c r="I88" s="237"/>
      <c r="J88" s="237"/>
      <c r="K88" s="237"/>
    </row>
    <row r="89" spans="3:11" ht="12.75">
      <c r="C89" s="360"/>
      <c r="D89" s="223"/>
      <c r="E89" s="249"/>
      <c r="F89" s="360"/>
      <c r="G89" s="360"/>
      <c r="H89" s="249"/>
      <c r="I89" s="237"/>
      <c r="J89" s="237"/>
      <c r="K89" s="237"/>
    </row>
    <row r="90" spans="3:11" ht="12.75">
      <c r="C90" s="360"/>
      <c r="D90" s="223"/>
      <c r="E90" s="249"/>
      <c r="F90" s="360"/>
      <c r="G90" s="360"/>
      <c r="H90" s="249"/>
      <c r="I90" s="237"/>
      <c r="J90" s="237"/>
      <c r="K90" s="237"/>
    </row>
    <row r="91" spans="3:11" ht="12.75">
      <c r="C91" s="360"/>
      <c r="D91" s="223"/>
      <c r="E91" s="249"/>
      <c r="F91" s="360"/>
      <c r="G91" s="360"/>
      <c r="H91" s="249"/>
      <c r="I91" s="237"/>
      <c r="J91" s="237"/>
      <c r="K91" s="237"/>
    </row>
    <row r="92" spans="3:11" ht="12.75">
      <c r="C92" s="360"/>
      <c r="D92" s="223"/>
      <c r="E92" s="249"/>
      <c r="F92" s="360"/>
      <c r="G92" s="360"/>
      <c r="H92" s="249"/>
      <c r="I92" s="237"/>
      <c r="J92" s="237"/>
      <c r="K92" s="237"/>
    </row>
    <row r="93" spans="3:11" ht="12.75">
      <c r="C93" s="360"/>
      <c r="D93" s="223"/>
      <c r="E93" s="249"/>
      <c r="F93" s="360"/>
      <c r="G93" s="360"/>
      <c r="H93" s="249"/>
      <c r="I93" s="237"/>
      <c r="J93" s="237"/>
      <c r="K93" s="237"/>
    </row>
    <row r="94" spans="3:11" ht="12.75">
      <c r="C94" s="360"/>
      <c r="D94" s="223"/>
      <c r="E94" s="249"/>
      <c r="F94" s="360"/>
      <c r="G94" s="360"/>
      <c r="H94" s="249"/>
      <c r="I94" s="237"/>
      <c r="J94" s="237"/>
      <c r="K94" s="237"/>
    </row>
    <row r="95" spans="3:11" ht="12.75">
      <c r="C95" s="360"/>
      <c r="D95" s="223"/>
      <c r="E95" s="249"/>
      <c r="F95" s="360"/>
      <c r="G95" s="360"/>
      <c r="H95" s="249"/>
      <c r="I95" s="237"/>
      <c r="J95" s="237"/>
      <c r="K95" s="237"/>
    </row>
    <row r="96" spans="3:11" ht="12.75">
      <c r="C96" s="360"/>
      <c r="D96" s="223"/>
      <c r="E96" s="249"/>
      <c r="F96" s="360"/>
      <c r="G96" s="360"/>
      <c r="H96" s="249"/>
      <c r="I96" s="237"/>
      <c r="J96" s="237"/>
      <c r="K96" s="237"/>
    </row>
    <row r="97" spans="3:11" ht="12.75">
      <c r="C97" s="360"/>
      <c r="D97" s="223"/>
      <c r="E97" s="249"/>
      <c r="F97" s="360"/>
      <c r="G97" s="360"/>
      <c r="H97" s="249"/>
      <c r="I97" s="237"/>
      <c r="J97" s="237"/>
      <c r="K97" s="237"/>
    </row>
    <row r="98" spans="3:11" ht="12.75">
      <c r="C98" s="360"/>
      <c r="D98" s="223"/>
      <c r="E98" s="249"/>
      <c r="F98" s="360"/>
      <c r="G98" s="360"/>
      <c r="H98" s="249"/>
      <c r="I98" s="237"/>
      <c r="J98" s="237"/>
      <c r="K98" s="237"/>
    </row>
    <row r="99" spans="3:11" ht="12.75">
      <c r="C99" s="360"/>
      <c r="D99" s="223"/>
      <c r="E99" s="249"/>
      <c r="F99" s="360"/>
      <c r="G99" s="360"/>
      <c r="H99" s="249"/>
      <c r="I99" s="237"/>
      <c r="J99" s="237"/>
      <c r="K99" s="237"/>
    </row>
    <row r="100" spans="3:11" ht="12.75">
      <c r="C100" s="360"/>
      <c r="D100" s="223"/>
      <c r="E100" s="249"/>
      <c r="F100" s="360"/>
      <c r="G100" s="360"/>
      <c r="H100" s="249"/>
      <c r="I100" s="237"/>
      <c r="J100" s="237"/>
      <c r="K100" s="237"/>
    </row>
    <row r="101" spans="3:11" ht="12.75">
      <c r="C101" s="360"/>
      <c r="D101" s="223"/>
      <c r="E101" s="249"/>
      <c r="F101" s="360"/>
      <c r="G101" s="360"/>
      <c r="H101" s="249"/>
      <c r="I101" s="237"/>
      <c r="J101" s="237"/>
      <c r="K101" s="237"/>
    </row>
    <row r="102" spans="3:11" ht="12.75">
      <c r="C102" s="360"/>
      <c r="D102" s="223"/>
      <c r="E102" s="249"/>
      <c r="F102" s="360"/>
      <c r="G102" s="360"/>
      <c r="H102" s="249"/>
      <c r="I102" s="237"/>
      <c r="J102" s="237"/>
      <c r="K102" s="237"/>
    </row>
    <row r="103" spans="3:11" ht="12.75">
      <c r="C103" s="360"/>
      <c r="D103" s="223"/>
      <c r="E103" s="249"/>
      <c r="F103" s="360"/>
      <c r="G103" s="360"/>
      <c r="H103" s="249"/>
      <c r="I103" s="237"/>
      <c r="J103" s="237"/>
      <c r="K103" s="237"/>
    </row>
    <row r="104" spans="3:11" ht="12.75">
      <c r="C104" s="360"/>
      <c r="D104" s="223"/>
      <c r="E104" s="249"/>
      <c r="F104" s="360"/>
      <c r="G104" s="360"/>
      <c r="H104" s="249"/>
      <c r="I104" s="237"/>
      <c r="J104" s="237"/>
      <c r="K104" s="237"/>
    </row>
    <row r="105" spans="3:11" ht="12.75">
      <c r="C105" s="360"/>
      <c r="D105" s="223"/>
      <c r="E105" s="249"/>
      <c r="F105" s="360"/>
      <c r="G105" s="360"/>
      <c r="H105" s="249"/>
      <c r="I105" s="237"/>
      <c r="J105" s="237"/>
      <c r="K105" s="237"/>
    </row>
    <row r="106" spans="3:11" ht="12.75">
      <c r="C106" s="360"/>
      <c r="D106" s="223"/>
      <c r="E106" s="249"/>
      <c r="F106" s="360"/>
      <c r="G106" s="360"/>
      <c r="H106" s="249"/>
      <c r="I106" s="237"/>
      <c r="J106" s="237"/>
      <c r="K106" s="237"/>
    </row>
    <row r="107" spans="3:11" ht="12.75">
      <c r="C107" s="360"/>
      <c r="D107" s="223"/>
      <c r="E107" s="249"/>
      <c r="F107" s="360"/>
      <c r="G107" s="360"/>
      <c r="H107" s="249"/>
      <c r="I107" s="237"/>
      <c r="J107" s="237"/>
      <c r="K107" s="237"/>
    </row>
    <row r="108" spans="3:11" ht="12.75">
      <c r="C108" s="360"/>
      <c r="D108" s="223"/>
      <c r="E108" s="249"/>
      <c r="F108" s="360"/>
      <c r="G108" s="360"/>
      <c r="H108" s="249"/>
      <c r="I108" s="237"/>
      <c r="J108" s="237"/>
      <c r="K108" s="237"/>
    </row>
    <row r="109" spans="3:11" ht="12.75">
      <c r="C109" s="360"/>
      <c r="D109" s="223"/>
      <c r="E109" s="249"/>
      <c r="F109" s="360"/>
      <c r="G109" s="360"/>
      <c r="H109" s="249"/>
      <c r="I109" s="237"/>
      <c r="J109" s="237"/>
      <c r="K109" s="237"/>
    </row>
    <row r="110" spans="3:11" ht="12.75">
      <c r="C110" s="360"/>
      <c r="D110" s="223"/>
      <c r="E110" s="249"/>
      <c r="F110" s="360"/>
      <c r="G110" s="360"/>
      <c r="H110" s="249"/>
      <c r="I110" s="237"/>
      <c r="J110" s="237"/>
      <c r="K110" s="237"/>
    </row>
    <row r="111" spans="3:11" ht="12.75">
      <c r="C111" s="360"/>
      <c r="D111" s="223"/>
      <c r="E111" s="249"/>
      <c r="F111" s="360"/>
      <c r="G111" s="360"/>
      <c r="H111" s="249"/>
      <c r="I111" s="237"/>
      <c r="J111" s="237"/>
      <c r="K111" s="237"/>
    </row>
    <row r="112" spans="3:11" ht="12.75">
      <c r="C112" s="360"/>
      <c r="D112" s="223"/>
      <c r="E112" s="249"/>
      <c r="F112" s="360"/>
      <c r="G112" s="360"/>
      <c r="H112" s="249"/>
      <c r="I112" s="237"/>
      <c r="J112" s="237"/>
      <c r="K112" s="237"/>
    </row>
    <row r="113" spans="3:11" ht="12.75">
      <c r="C113" s="360"/>
      <c r="D113" s="223"/>
      <c r="E113" s="249"/>
      <c r="F113" s="360"/>
      <c r="G113" s="360"/>
      <c r="H113" s="249"/>
      <c r="I113" s="237"/>
      <c r="J113" s="237"/>
      <c r="K113" s="237"/>
    </row>
    <row r="114" spans="3:11" ht="12.75">
      <c r="C114" s="360"/>
      <c r="D114" s="223"/>
      <c r="E114" s="249"/>
      <c r="F114" s="360"/>
      <c r="G114" s="360"/>
      <c r="H114" s="249"/>
      <c r="I114" s="237"/>
      <c r="J114" s="237"/>
      <c r="K114" s="237"/>
    </row>
    <row r="115" spans="3:11" ht="12.75">
      <c r="C115" s="360"/>
      <c r="D115" s="223"/>
      <c r="E115" s="249"/>
      <c r="F115" s="360"/>
      <c r="G115" s="360"/>
      <c r="H115" s="249"/>
      <c r="I115" s="237"/>
      <c r="J115" s="237"/>
      <c r="K115" s="237"/>
    </row>
    <row r="116" spans="3:11" ht="12.75">
      <c r="C116" s="360"/>
      <c r="D116" s="223"/>
      <c r="E116" s="249"/>
      <c r="F116" s="360"/>
      <c r="G116" s="360"/>
      <c r="H116" s="249"/>
      <c r="I116" s="237"/>
      <c r="J116" s="237"/>
      <c r="K116" s="237"/>
    </row>
    <row r="117" spans="3:11" ht="12.75">
      <c r="C117" s="360"/>
      <c r="D117" s="223"/>
      <c r="E117" s="249"/>
      <c r="F117" s="360"/>
      <c r="G117" s="360"/>
      <c r="H117" s="249"/>
      <c r="I117" s="237"/>
      <c r="J117" s="237"/>
      <c r="K117" s="237"/>
    </row>
    <row r="118" spans="3:11" ht="12.75">
      <c r="C118" s="360"/>
      <c r="D118" s="223"/>
      <c r="E118" s="249"/>
      <c r="F118" s="360"/>
      <c r="G118" s="360"/>
      <c r="H118" s="249"/>
      <c r="I118" s="237"/>
      <c r="J118" s="237"/>
      <c r="K118" s="237"/>
    </row>
    <row r="119" spans="3:11" ht="12.75">
      <c r="C119" s="360"/>
      <c r="D119" s="223"/>
      <c r="E119" s="249"/>
      <c r="F119" s="360"/>
      <c r="G119" s="360"/>
      <c r="H119" s="249"/>
      <c r="I119" s="237"/>
      <c r="J119" s="237"/>
      <c r="K119" s="237"/>
    </row>
    <row r="120" spans="3:11" ht="12.75">
      <c r="C120" s="360"/>
      <c r="D120" s="223"/>
      <c r="E120" s="249"/>
      <c r="F120" s="360"/>
      <c r="G120" s="360"/>
      <c r="H120" s="249"/>
      <c r="I120" s="237"/>
      <c r="J120" s="237"/>
      <c r="K120" s="237"/>
    </row>
    <row r="121" spans="3:11" ht="12.75">
      <c r="C121" s="360"/>
      <c r="D121" s="223"/>
      <c r="E121" s="249"/>
      <c r="F121" s="360"/>
      <c r="G121" s="360"/>
      <c r="H121" s="249"/>
      <c r="I121" s="237"/>
      <c r="J121" s="237"/>
      <c r="K121" s="237"/>
    </row>
    <row r="122" spans="3:11" ht="12.75">
      <c r="C122" s="360"/>
      <c r="D122" s="223"/>
      <c r="E122" s="249"/>
      <c r="F122" s="360"/>
      <c r="G122" s="360"/>
      <c r="H122" s="249"/>
      <c r="I122" s="237"/>
      <c r="J122" s="237"/>
      <c r="K122" s="237"/>
    </row>
    <row r="123" spans="3:11" ht="12.75">
      <c r="C123" s="360"/>
      <c r="D123" s="223"/>
      <c r="E123" s="249"/>
      <c r="F123" s="360"/>
      <c r="G123" s="360"/>
      <c r="H123" s="249"/>
      <c r="I123" s="237"/>
      <c r="J123" s="237"/>
      <c r="K123" s="237"/>
    </row>
    <row r="124" spans="3:11" ht="12.75">
      <c r="C124" s="360"/>
      <c r="D124" s="223"/>
      <c r="E124" s="249"/>
      <c r="F124" s="360"/>
      <c r="G124" s="360"/>
      <c r="H124" s="249"/>
      <c r="I124" s="237"/>
      <c r="J124" s="237"/>
      <c r="K124" s="237"/>
    </row>
    <row r="125" spans="3:11" ht="12.75">
      <c r="C125" s="360"/>
      <c r="D125" s="223"/>
      <c r="E125" s="249"/>
      <c r="F125" s="360"/>
      <c r="G125" s="360"/>
      <c r="H125" s="249"/>
      <c r="I125" s="237"/>
      <c r="J125" s="237"/>
      <c r="K125" s="237"/>
    </row>
    <row r="126" spans="3:11" ht="12.75">
      <c r="C126" s="360"/>
      <c r="D126" s="223"/>
      <c r="E126" s="249"/>
      <c r="F126" s="360"/>
      <c r="G126" s="360"/>
      <c r="H126" s="249"/>
      <c r="I126" s="237"/>
      <c r="J126" s="237"/>
      <c r="K126" s="237"/>
    </row>
    <row r="127" spans="3:11" ht="12.75">
      <c r="C127" s="360"/>
      <c r="D127" s="223"/>
      <c r="E127" s="249"/>
      <c r="F127" s="360"/>
      <c r="G127" s="360"/>
      <c r="H127" s="249"/>
      <c r="I127" s="237"/>
      <c r="J127" s="237"/>
      <c r="K127" s="237"/>
    </row>
    <row r="128" spans="3:11" ht="12.75">
      <c r="C128" s="360"/>
      <c r="D128" s="223"/>
      <c r="E128" s="249"/>
      <c r="F128" s="360"/>
      <c r="G128" s="360"/>
      <c r="H128" s="249"/>
      <c r="I128" s="237"/>
      <c r="J128" s="237"/>
      <c r="K128" s="237"/>
    </row>
    <row r="129" spans="3:11" ht="12.75">
      <c r="C129" s="360"/>
      <c r="D129" s="223"/>
      <c r="E129" s="249"/>
      <c r="F129" s="360"/>
      <c r="G129" s="360"/>
      <c r="H129" s="249"/>
      <c r="I129" s="237"/>
      <c r="J129" s="237"/>
      <c r="K129" s="237"/>
    </row>
    <row r="130" spans="3:11" ht="12.75">
      <c r="C130" s="360"/>
      <c r="D130" s="223"/>
      <c r="E130" s="249"/>
      <c r="F130" s="360"/>
      <c r="G130" s="360"/>
      <c r="H130" s="249"/>
      <c r="I130" s="237"/>
      <c r="J130" s="237"/>
      <c r="K130" s="237"/>
    </row>
    <row r="131" spans="3:11" ht="12.75">
      <c r="C131" s="360"/>
      <c r="D131" s="223"/>
      <c r="E131" s="249"/>
      <c r="F131" s="360"/>
      <c r="G131" s="360"/>
      <c r="H131" s="249"/>
      <c r="I131" s="237"/>
      <c r="J131" s="237"/>
      <c r="K131" s="237"/>
    </row>
    <row r="132" spans="3:11" ht="12.75">
      <c r="C132" s="360"/>
      <c r="D132" s="223"/>
      <c r="E132" s="249"/>
      <c r="F132" s="360"/>
      <c r="G132" s="360"/>
      <c r="H132" s="249"/>
      <c r="I132" s="237"/>
      <c r="J132" s="237"/>
      <c r="K132" s="237"/>
    </row>
    <row r="133" spans="3:11" ht="12.75">
      <c r="C133" s="360"/>
      <c r="D133" s="223"/>
      <c r="E133" s="249"/>
      <c r="F133" s="360"/>
      <c r="G133" s="360"/>
      <c r="H133" s="249"/>
      <c r="I133" s="237"/>
      <c r="J133" s="237"/>
      <c r="K133" s="237"/>
    </row>
    <row r="134" spans="3:11" ht="12.75">
      <c r="C134" s="360"/>
      <c r="D134" s="223"/>
      <c r="E134" s="249"/>
      <c r="F134" s="360"/>
      <c r="G134" s="360"/>
      <c r="H134" s="249"/>
      <c r="I134" s="237"/>
      <c r="J134" s="237"/>
      <c r="K134" s="237"/>
    </row>
    <row r="135" spans="3:11" ht="12.75">
      <c r="C135" s="360"/>
      <c r="D135" s="223"/>
      <c r="E135" s="249"/>
      <c r="F135" s="360"/>
      <c r="G135" s="360"/>
      <c r="H135" s="249"/>
      <c r="I135" s="237"/>
      <c r="J135" s="237"/>
      <c r="K135" s="237"/>
    </row>
    <row r="136" spans="3:11" ht="12.75">
      <c r="C136" s="360"/>
      <c r="D136" s="223"/>
      <c r="E136" s="249"/>
      <c r="F136" s="360"/>
      <c r="G136" s="360"/>
      <c r="H136" s="249"/>
      <c r="I136" s="237"/>
      <c r="J136" s="237"/>
      <c r="K136" s="237"/>
    </row>
    <row r="137" spans="3:11" ht="12.75">
      <c r="C137" s="360"/>
      <c r="D137" s="223"/>
      <c r="E137" s="249"/>
      <c r="F137" s="360"/>
      <c r="G137" s="360"/>
      <c r="H137" s="249"/>
      <c r="I137" s="237"/>
      <c r="J137" s="237"/>
      <c r="K137" s="237"/>
    </row>
    <row r="138" spans="3:11" ht="12.75">
      <c r="C138" s="360"/>
      <c r="D138" s="223"/>
      <c r="E138" s="249"/>
      <c r="F138" s="360"/>
      <c r="G138" s="360"/>
      <c r="H138" s="249"/>
      <c r="I138" s="237"/>
      <c r="J138" s="237"/>
      <c r="K138" s="237"/>
    </row>
    <row r="139" spans="3:11" ht="12.75">
      <c r="C139" s="360"/>
      <c r="D139" s="223"/>
      <c r="E139" s="249"/>
      <c r="F139" s="360"/>
      <c r="G139" s="360"/>
      <c r="H139" s="249"/>
      <c r="I139" s="237"/>
      <c r="J139" s="237"/>
      <c r="K139" s="237"/>
    </row>
    <row r="140" spans="3:11" ht="12.75">
      <c r="C140" s="360"/>
      <c r="D140" s="223"/>
      <c r="E140" s="249"/>
      <c r="F140" s="360"/>
      <c r="G140" s="360"/>
      <c r="H140" s="249"/>
      <c r="I140" s="237"/>
      <c r="J140" s="237"/>
      <c r="K140" s="237"/>
    </row>
    <row r="141" spans="3:11" ht="12.75">
      <c r="C141" s="360"/>
      <c r="D141" s="223"/>
      <c r="E141" s="249"/>
      <c r="F141" s="360"/>
      <c r="G141" s="360"/>
      <c r="H141" s="249"/>
      <c r="I141" s="237"/>
      <c r="J141" s="237"/>
      <c r="K141" s="237"/>
    </row>
    <row r="142" spans="3:11" ht="12.75">
      <c r="C142" s="360"/>
      <c r="D142" s="223"/>
      <c r="E142" s="249"/>
      <c r="F142" s="360"/>
      <c r="G142" s="360"/>
      <c r="H142" s="249"/>
      <c r="I142" s="237"/>
      <c r="J142" s="237"/>
      <c r="K142" s="237"/>
    </row>
    <row r="143" spans="3:11" ht="12.75">
      <c r="C143" s="360"/>
      <c r="D143" s="223"/>
      <c r="E143" s="249"/>
      <c r="F143" s="360"/>
      <c r="G143" s="360"/>
      <c r="H143" s="249"/>
      <c r="I143" s="237"/>
      <c r="J143" s="237"/>
      <c r="K143" s="237"/>
    </row>
    <row r="144" spans="3:11" ht="12.75">
      <c r="C144" s="360"/>
      <c r="D144" s="223"/>
      <c r="E144" s="249"/>
      <c r="F144" s="360"/>
      <c r="G144" s="360"/>
      <c r="H144" s="249"/>
      <c r="I144" s="237"/>
      <c r="J144" s="237"/>
      <c r="K144" s="237"/>
    </row>
    <row r="145" spans="3:11" ht="12.75">
      <c r="C145" s="360"/>
      <c r="D145" s="223"/>
      <c r="E145" s="249"/>
      <c r="F145" s="360"/>
      <c r="G145" s="360"/>
      <c r="H145" s="249"/>
      <c r="I145" s="237"/>
      <c r="J145" s="237"/>
      <c r="K145" s="237"/>
    </row>
    <row r="146" spans="3:11" ht="12.75">
      <c r="C146" s="360"/>
      <c r="D146" s="223"/>
      <c r="E146" s="249"/>
      <c r="F146" s="360"/>
      <c r="G146" s="360"/>
      <c r="H146" s="249"/>
      <c r="I146" s="237"/>
      <c r="J146" s="237"/>
      <c r="K146" s="237"/>
    </row>
    <row r="147" spans="3:11" ht="12.75">
      <c r="C147" s="360"/>
      <c r="D147" s="223"/>
      <c r="E147" s="249"/>
      <c r="F147" s="360"/>
      <c r="G147" s="360"/>
      <c r="H147" s="249"/>
      <c r="I147" s="237"/>
      <c r="J147" s="237"/>
      <c r="K147" s="237"/>
    </row>
    <row r="148" spans="3:11" ht="12.75">
      <c r="C148" s="360"/>
      <c r="D148" s="223"/>
      <c r="E148" s="249"/>
      <c r="F148" s="360"/>
      <c r="G148" s="360"/>
      <c r="H148" s="249"/>
      <c r="I148" s="237"/>
      <c r="J148" s="237"/>
      <c r="K148" s="237"/>
    </row>
    <row r="149" spans="3:11" ht="12.75">
      <c r="C149" s="360"/>
      <c r="D149" s="223"/>
      <c r="E149" s="249"/>
      <c r="F149" s="360"/>
      <c r="G149" s="360"/>
      <c r="H149" s="249"/>
      <c r="I149" s="237"/>
      <c r="J149" s="237"/>
      <c r="K149" s="237"/>
    </row>
    <row r="150" spans="3:11" ht="12.75">
      <c r="C150" s="360"/>
      <c r="D150" s="223"/>
      <c r="E150" s="249"/>
      <c r="F150" s="360"/>
      <c r="G150" s="360"/>
      <c r="H150" s="249"/>
      <c r="I150" s="237"/>
      <c r="J150" s="237"/>
      <c r="K150" s="237"/>
    </row>
    <row r="151" spans="3:11" ht="12.75">
      <c r="C151" s="360"/>
      <c r="D151" s="223"/>
      <c r="E151" s="249"/>
      <c r="F151" s="360"/>
      <c r="G151" s="360"/>
      <c r="H151" s="249"/>
      <c r="I151" s="237"/>
      <c r="J151" s="237"/>
      <c r="K151" s="237"/>
    </row>
    <row r="152" spans="3:11" ht="12.75">
      <c r="C152" s="360"/>
      <c r="D152" s="223"/>
      <c r="E152" s="249"/>
      <c r="F152" s="360"/>
      <c r="G152" s="360"/>
      <c r="H152" s="249"/>
      <c r="I152" s="237"/>
      <c r="J152" s="237"/>
      <c r="K152" s="237"/>
    </row>
    <row r="153" spans="3:11" ht="12.75">
      <c r="C153" s="360"/>
      <c r="D153" s="223"/>
      <c r="E153" s="249"/>
      <c r="F153" s="360"/>
      <c r="G153" s="360"/>
      <c r="H153" s="249"/>
      <c r="I153" s="237"/>
      <c r="J153" s="237"/>
      <c r="K153" s="237"/>
    </row>
    <row r="154" spans="3:11" ht="12.75">
      <c r="C154" s="360"/>
      <c r="D154" s="223"/>
      <c r="E154" s="249"/>
      <c r="F154" s="360"/>
      <c r="G154" s="360"/>
      <c r="H154" s="249"/>
      <c r="I154" s="237"/>
      <c r="J154" s="237"/>
      <c r="K154" s="237"/>
    </row>
    <row r="155" spans="3:11" ht="12.75">
      <c r="C155" s="360"/>
      <c r="D155" s="223"/>
      <c r="E155" s="249"/>
      <c r="F155" s="360"/>
      <c r="G155" s="360"/>
      <c r="H155" s="249"/>
      <c r="I155" s="237"/>
      <c r="J155" s="237"/>
      <c r="K155" s="237"/>
    </row>
    <row r="156" spans="3:11" ht="12.75">
      <c r="C156" s="360"/>
      <c r="D156" s="223"/>
      <c r="E156" s="249"/>
      <c r="F156" s="360"/>
      <c r="G156" s="360"/>
      <c r="H156" s="249"/>
      <c r="I156" s="237"/>
      <c r="J156" s="237"/>
      <c r="K156" s="237"/>
    </row>
    <row r="157" spans="3:11" ht="12.75">
      <c r="C157" s="360"/>
      <c r="D157" s="223"/>
      <c r="E157" s="249"/>
      <c r="F157" s="360"/>
      <c r="G157" s="360"/>
      <c r="H157" s="249"/>
      <c r="I157" s="237"/>
      <c r="J157" s="237"/>
      <c r="K157" s="237"/>
    </row>
    <row r="158" spans="3:11" ht="12.75">
      <c r="C158" s="360"/>
      <c r="D158" s="223"/>
      <c r="E158" s="249"/>
      <c r="F158" s="360"/>
      <c r="G158" s="360"/>
      <c r="H158" s="249"/>
      <c r="I158" s="237"/>
      <c r="J158" s="237"/>
      <c r="K158" s="237"/>
    </row>
    <row r="159" spans="3:11" ht="12.75">
      <c r="C159" s="223"/>
      <c r="D159" s="223"/>
      <c r="E159" s="249"/>
      <c r="F159" s="448"/>
      <c r="G159" s="448"/>
      <c r="H159" s="249"/>
      <c r="I159" s="237"/>
      <c r="J159" s="237"/>
      <c r="K159" s="237"/>
    </row>
    <row r="160" spans="3:11" ht="12.75">
      <c r="C160" s="223"/>
      <c r="D160" s="223"/>
      <c r="E160" s="249"/>
      <c r="F160" s="448"/>
      <c r="G160" s="448"/>
      <c r="H160" s="249"/>
      <c r="I160" s="237"/>
      <c r="J160" s="237"/>
      <c r="K160" s="237"/>
    </row>
    <row r="161" spans="3:11" ht="12.75">
      <c r="C161" s="223"/>
      <c r="D161" s="223"/>
      <c r="E161" s="249"/>
      <c r="F161" s="448"/>
      <c r="G161" s="448"/>
      <c r="H161" s="249"/>
      <c r="I161" s="237"/>
      <c r="J161" s="237"/>
      <c r="K161" s="237"/>
    </row>
    <row r="162" spans="3:11" ht="12.75">
      <c r="C162" s="223"/>
      <c r="D162" s="223"/>
      <c r="E162" s="249"/>
      <c r="F162" s="448"/>
      <c r="G162" s="448"/>
      <c r="H162" s="249"/>
      <c r="I162" s="237"/>
      <c r="J162" s="237"/>
      <c r="K162" s="237"/>
    </row>
    <row r="163" spans="3:11" ht="12.75">
      <c r="C163" s="223"/>
      <c r="D163" s="223"/>
      <c r="E163" s="249"/>
      <c r="F163" s="448"/>
      <c r="G163" s="448"/>
      <c r="H163" s="249"/>
      <c r="I163" s="237"/>
      <c r="J163" s="237"/>
      <c r="K163" s="237"/>
    </row>
    <row r="164" spans="3:11" ht="12.75">
      <c r="C164" s="223"/>
      <c r="D164" s="223"/>
      <c r="E164" s="249"/>
      <c r="F164" s="448"/>
      <c r="G164" s="448"/>
      <c r="H164" s="249"/>
      <c r="I164" s="237"/>
      <c r="J164" s="237"/>
      <c r="K164" s="237"/>
    </row>
    <row r="165" spans="3:11" ht="12.75">
      <c r="C165" s="223"/>
      <c r="D165" s="223"/>
      <c r="E165" s="249"/>
      <c r="F165" s="448"/>
      <c r="G165" s="448"/>
      <c r="H165" s="249"/>
      <c r="I165" s="237"/>
      <c r="J165" s="237"/>
      <c r="K165" s="237"/>
    </row>
    <row r="166" spans="3:11" ht="12.75">
      <c r="C166" s="223"/>
      <c r="D166" s="223"/>
      <c r="E166" s="249"/>
      <c r="F166" s="448"/>
      <c r="G166" s="448"/>
      <c r="H166" s="249"/>
      <c r="I166" s="237"/>
      <c r="J166" s="237"/>
      <c r="K166" s="237"/>
    </row>
    <row r="167" spans="3:11" ht="12.75">
      <c r="C167" s="223"/>
      <c r="D167" s="223"/>
      <c r="E167" s="249"/>
      <c r="F167" s="448"/>
      <c r="G167" s="448"/>
      <c r="H167" s="249"/>
      <c r="I167" s="237"/>
      <c r="J167" s="237"/>
      <c r="K167" s="237"/>
    </row>
    <row r="168" spans="3:11" ht="12.75">
      <c r="C168" s="223"/>
      <c r="D168" s="223"/>
      <c r="E168" s="249"/>
      <c r="F168" s="448"/>
      <c r="G168" s="448"/>
      <c r="H168" s="249"/>
      <c r="I168" s="237"/>
      <c r="J168" s="237"/>
      <c r="K168" s="237"/>
    </row>
    <row r="169" spans="3:11" ht="12.75">
      <c r="C169" s="223"/>
      <c r="D169" s="223"/>
      <c r="E169" s="249"/>
      <c r="F169" s="223"/>
      <c r="G169" s="223"/>
      <c r="H169" s="249"/>
      <c r="I169" s="237"/>
      <c r="J169" s="237"/>
      <c r="K169" s="237"/>
    </row>
    <row r="170" spans="3:11" ht="12.75">
      <c r="C170" s="223"/>
      <c r="D170" s="223"/>
      <c r="E170" s="249"/>
      <c r="F170" s="223"/>
      <c r="G170" s="223"/>
      <c r="H170" s="249"/>
      <c r="I170" s="237"/>
      <c r="J170" s="237"/>
      <c r="K170" s="237"/>
    </row>
    <row r="171" spans="3:11" ht="12.75">
      <c r="C171" s="223"/>
      <c r="D171" s="223"/>
      <c r="E171" s="249"/>
      <c r="F171" s="223"/>
      <c r="G171" s="223"/>
      <c r="H171" s="249"/>
      <c r="I171" s="237"/>
      <c r="J171" s="237"/>
      <c r="K171" s="237"/>
    </row>
    <row r="172" spans="3:11" ht="12.75">
      <c r="C172" s="223"/>
      <c r="D172" s="223"/>
      <c r="E172" s="249"/>
      <c r="F172" s="223"/>
      <c r="G172" s="223"/>
      <c r="H172" s="249"/>
      <c r="I172" s="237"/>
      <c r="J172" s="237"/>
      <c r="K172" s="237"/>
    </row>
  </sheetData>
  <sheetProtection/>
  <mergeCells count="13">
    <mergeCell ref="G43:G44"/>
    <mergeCell ref="J4:J5"/>
    <mergeCell ref="J43:J44"/>
    <mergeCell ref="A2:C2"/>
    <mergeCell ref="D43:D44"/>
    <mergeCell ref="F43:F44"/>
    <mergeCell ref="I43:I44"/>
    <mergeCell ref="F4:F5"/>
    <mergeCell ref="I4:I5"/>
    <mergeCell ref="C4:C5"/>
    <mergeCell ref="D4:D5"/>
    <mergeCell ref="C43:C44"/>
    <mergeCell ref="G4:G5"/>
  </mergeCells>
  <hyperlinks>
    <hyperlink ref="A2" location="Index!A1" display="Back to Index"/>
  </hyperlinks>
  <printOptions/>
  <pageMargins left="0.75" right="0.75" top="0.76" bottom="1" header="0.5" footer="0.5"/>
  <pageSetup fitToHeight="1" fitToWidth="1" horizontalDpi="600" verticalDpi="600" orientation="portrait" scale="62" r:id="rId1"/>
  <headerFooter alignWithMargins="0">
    <oddFooter>&amp;L&amp;D &amp;T&amp;R&amp;F &amp;A</oddFooter>
  </headerFooter>
  <ignoredErrors>
    <ignoredError sqref="E59:E70 H45:H46 E54 H59:H70 E45:E52 H38:H42 E38:E42 H47:H52 H53:H54" 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AG184"/>
  <sheetViews>
    <sheetView zoomScale="80" zoomScaleNormal="80" zoomScalePageLayoutView="0" workbookViewId="0" topLeftCell="A7">
      <selection activeCell="O25" sqref="O25"/>
    </sheetView>
  </sheetViews>
  <sheetFormatPr defaultColWidth="9.140625" defaultRowHeight="12.75"/>
  <cols>
    <col min="1" max="1" width="2.421875" style="0" customWidth="1"/>
    <col min="2" max="2" width="38.7109375" style="0" customWidth="1"/>
    <col min="3" max="3" width="1.28515625" style="0" customWidth="1"/>
    <col min="4" max="4" width="13.00390625" style="0" bestFit="1" customWidth="1"/>
    <col min="5" max="7" width="11.7109375" style="0" customWidth="1"/>
    <col min="8" max="8" width="4.7109375" style="0" customWidth="1"/>
    <col min="9" max="9" width="10.8515625" style="0" customWidth="1"/>
    <col min="10" max="12" width="11.8515625" style="0" customWidth="1"/>
  </cols>
  <sheetData>
    <row r="1" spans="1:14" s="42" customFormat="1" ht="20.25">
      <c r="A1" s="41" t="s">
        <v>328</v>
      </c>
      <c r="G1" s="41"/>
      <c r="H1" s="43"/>
      <c r="I1" s="43"/>
      <c r="J1" s="43"/>
      <c r="K1" s="43"/>
      <c r="L1" s="252"/>
      <c r="M1" s="43"/>
      <c r="N1" s="43"/>
    </row>
    <row r="2" spans="1:14" s="44" customFormat="1" ht="15">
      <c r="A2" s="590" t="s">
        <v>80</v>
      </c>
      <c r="B2" s="590"/>
      <c r="C2" s="590"/>
      <c r="D2" s="288"/>
      <c r="E2" s="288"/>
      <c r="F2" s="454"/>
      <c r="L2" s="253"/>
      <c r="N2" s="45"/>
    </row>
    <row r="3" spans="1:12" ht="15" thickBot="1">
      <c r="A3" s="108"/>
      <c r="B3" s="108"/>
      <c r="C3" s="108"/>
      <c r="D3" s="108"/>
      <c r="E3" s="108"/>
      <c r="F3" s="108"/>
      <c r="G3" s="108"/>
      <c r="H3" s="108"/>
      <c r="I3" s="108"/>
      <c r="J3" s="108"/>
      <c r="K3" s="108"/>
      <c r="L3" s="238"/>
    </row>
    <row r="4" spans="1:22" ht="15.75" customHeight="1" thickTop="1">
      <c r="A4" s="108"/>
      <c r="B4" s="185"/>
      <c r="C4" s="186"/>
      <c r="D4" s="603" t="s">
        <v>257</v>
      </c>
      <c r="E4" s="603"/>
      <c r="F4" s="603"/>
      <c r="G4" s="603"/>
      <c r="H4" s="187"/>
      <c r="I4" s="602" t="s">
        <v>258</v>
      </c>
      <c r="J4" s="602"/>
      <c r="K4" s="602"/>
      <c r="L4" s="602"/>
      <c r="M4" s="67"/>
      <c r="N4" s="67"/>
      <c r="O4" s="67"/>
      <c r="P4" s="67"/>
      <c r="Q4" s="67"/>
      <c r="R4" s="67"/>
      <c r="S4" s="67"/>
      <c r="T4" s="67"/>
      <c r="U4" s="67"/>
      <c r="V4" s="67"/>
    </row>
    <row r="5" spans="1:22" s="111" customFormat="1" ht="15">
      <c r="A5" s="110"/>
      <c r="B5" s="188"/>
      <c r="C5" s="189"/>
      <c r="D5" s="148">
        <v>41547</v>
      </c>
      <c r="E5" s="148">
        <v>41455</v>
      </c>
      <c r="F5" s="568">
        <v>41274</v>
      </c>
      <c r="G5" s="148">
        <v>40451</v>
      </c>
      <c r="H5" s="148"/>
      <c r="I5" s="148">
        <f>D5</f>
        <v>41547</v>
      </c>
      <c r="J5" s="148">
        <f>E5</f>
        <v>41455</v>
      </c>
      <c r="K5" s="568">
        <v>41274</v>
      </c>
      <c r="L5" s="148">
        <f>G5</f>
        <v>40451</v>
      </c>
      <c r="M5" s="190"/>
      <c r="N5" s="190"/>
      <c r="O5" s="190"/>
      <c r="P5" s="190"/>
      <c r="Q5" s="190"/>
      <c r="R5" s="190"/>
      <c r="S5" s="190"/>
      <c r="T5" s="190"/>
      <c r="U5" s="190"/>
      <c r="V5" s="190"/>
    </row>
    <row r="6" spans="1:22" s="113" customFormat="1" ht="21.75" customHeight="1" thickBot="1">
      <c r="A6" s="112"/>
      <c r="B6" s="191" t="s">
        <v>238</v>
      </c>
      <c r="C6" s="192"/>
      <c r="D6" s="149">
        <v>2013</v>
      </c>
      <c r="E6" s="149">
        <v>2013</v>
      </c>
      <c r="F6" s="149">
        <v>2012</v>
      </c>
      <c r="G6" s="149">
        <v>2012</v>
      </c>
      <c r="H6" s="149"/>
      <c r="I6" s="149">
        <v>2013</v>
      </c>
      <c r="J6" s="149">
        <v>2013</v>
      </c>
      <c r="K6" s="149">
        <v>2012</v>
      </c>
      <c r="L6" s="149">
        <v>2012</v>
      </c>
      <c r="M6" s="193"/>
      <c r="N6" s="193"/>
      <c r="O6" s="193"/>
      <c r="P6" s="193"/>
      <c r="Q6" s="193"/>
      <c r="R6" s="193"/>
      <c r="S6" s="193"/>
      <c r="T6" s="193"/>
      <c r="U6" s="193"/>
      <c r="V6" s="193"/>
    </row>
    <row r="7" spans="1:22" ht="15.75" thickTop="1">
      <c r="A7" s="108"/>
      <c r="B7" s="176"/>
      <c r="C7" s="194"/>
      <c r="D7" s="315"/>
      <c r="E7" s="194"/>
      <c r="F7" s="194"/>
      <c r="G7" s="103"/>
      <c r="H7" s="146"/>
      <c r="I7" s="146"/>
      <c r="J7" s="146"/>
      <c r="K7" s="146"/>
      <c r="L7" s="103"/>
      <c r="M7" s="67"/>
      <c r="N7" s="67"/>
      <c r="O7" s="67"/>
      <c r="P7" s="67"/>
      <c r="Q7" s="67"/>
      <c r="R7" s="67"/>
      <c r="S7" s="67"/>
      <c r="T7" s="67"/>
      <c r="U7" s="67"/>
      <c r="V7" s="67"/>
    </row>
    <row r="8" spans="1:22" ht="15">
      <c r="A8" s="108"/>
      <c r="B8" s="176" t="s">
        <v>259</v>
      </c>
      <c r="C8" s="194"/>
      <c r="D8" s="523"/>
      <c r="E8" s="315"/>
      <c r="F8" s="315"/>
      <c r="G8" s="103"/>
      <c r="H8" s="146"/>
      <c r="I8" s="146"/>
      <c r="J8" s="146"/>
      <c r="K8" s="146"/>
      <c r="L8" s="146"/>
      <c r="M8" s="67"/>
      <c r="N8" s="67"/>
      <c r="O8" s="67"/>
      <c r="P8" s="67"/>
      <c r="Q8" s="67"/>
      <c r="R8" s="67"/>
      <c r="S8" s="67"/>
      <c r="T8" s="67"/>
      <c r="U8" s="67"/>
      <c r="V8" s="67"/>
    </row>
    <row r="9" spans="1:22" ht="15">
      <c r="A9" s="108"/>
      <c r="B9" s="195"/>
      <c r="C9" s="194"/>
      <c r="D9" s="523"/>
      <c r="E9" s="315"/>
      <c r="F9" s="315"/>
      <c r="G9" s="147"/>
      <c r="H9" s="152"/>
      <c r="I9" s="146"/>
      <c r="J9" s="146"/>
      <c r="K9" s="146"/>
      <c r="L9" s="146"/>
      <c r="M9" s="67"/>
      <c r="N9" s="67"/>
      <c r="O9" s="67"/>
      <c r="P9" s="67"/>
      <c r="Q9" s="67"/>
      <c r="R9" s="67"/>
      <c r="S9" s="67"/>
      <c r="T9" s="67"/>
      <c r="U9" s="67"/>
      <c r="V9" s="67"/>
    </row>
    <row r="10" spans="1:22" ht="15">
      <c r="A10" s="108"/>
      <c r="B10" s="196" t="s">
        <v>260</v>
      </c>
      <c r="C10" s="194"/>
      <c r="D10" s="386">
        <v>19926</v>
      </c>
      <c r="E10" s="247">
        <v>18235</v>
      </c>
      <c r="F10" s="309">
        <v>17772</v>
      </c>
      <c r="G10" s="135">
        <v>18943</v>
      </c>
      <c r="H10" s="136"/>
      <c r="I10" s="528"/>
      <c r="J10" s="136"/>
      <c r="K10" s="323"/>
      <c r="L10" s="146"/>
      <c r="M10" s="67"/>
      <c r="N10" s="67"/>
      <c r="O10" s="67"/>
      <c r="P10" s="67"/>
      <c r="Q10" s="67"/>
      <c r="R10" s="67"/>
      <c r="S10" s="67"/>
      <c r="T10" s="67"/>
      <c r="U10" s="67"/>
      <c r="V10" s="67"/>
    </row>
    <row r="11" spans="1:22" ht="29.25">
      <c r="A11" s="108"/>
      <c r="B11" s="188" t="s">
        <v>261</v>
      </c>
      <c r="C11" s="188"/>
      <c r="D11" s="386">
        <v>9872</v>
      </c>
      <c r="E11" s="247">
        <v>10940</v>
      </c>
      <c r="F11" s="309">
        <v>12092</v>
      </c>
      <c r="G11" s="135">
        <v>11504</v>
      </c>
      <c r="H11" s="136"/>
      <c r="I11" s="528"/>
      <c r="J11" s="136"/>
      <c r="K11" s="323"/>
      <c r="L11" s="146"/>
      <c r="M11" s="67"/>
      <c r="N11" s="67"/>
      <c r="O11" s="67"/>
      <c r="P11" s="67"/>
      <c r="Q11" s="67"/>
      <c r="R11" s="67"/>
      <c r="S11" s="67"/>
      <c r="T11" s="67"/>
      <c r="U11" s="67"/>
      <c r="V11" s="67"/>
    </row>
    <row r="12" spans="1:22" ht="15">
      <c r="A12" s="108"/>
      <c r="B12" s="188" t="s">
        <v>262</v>
      </c>
      <c r="C12" s="197"/>
      <c r="D12" s="386">
        <v>38239</v>
      </c>
      <c r="E12" s="247">
        <v>33079</v>
      </c>
      <c r="F12" s="309">
        <v>28808</v>
      </c>
      <c r="G12" s="135">
        <v>41364</v>
      </c>
      <c r="H12" s="136"/>
      <c r="I12" s="516"/>
      <c r="J12" s="136"/>
      <c r="K12" s="323"/>
      <c r="L12" s="103"/>
      <c r="M12" s="67"/>
      <c r="N12" s="67"/>
      <c r="O12" s="67"/>
      <c r="P12" s="67"/>
      <c r="Q12" s="67"/>
      <c r="R12" s="67"/>
      <c r="S12" s="67"/>
      <c r="T12" s="67"/>
      <c r="U12" s="67"/>
      <c r="V12" s="67"/>
    </row>
    <row r="13" spans="1:22" ht="29.25">
      <c r="A13" s="108"/>
      <c r="B13" s="188" t="s">
        <v>303</v>
      </c>
      <c r="C13" s="194"/>
      <c r="D13" s="386">
        <f>14878+81</f>
        <v>14959</v>
      </c>
      <c r="E13" s="247">
        <v>12462</v>
      </c>
      <c r="F13" s="309">
        <v>11540</v>
      </c>
      <c r="G13" s="135">
        <v>12731</v>
      </c>
      <c r="H13" s="136"/>
      <c r="I13" s="528"/>
      <c r="J13" s="136"/>
      <c r="K13" s="323"/>
      <c r="L13" s="103"/>
      <c r="M13" s="67"/>
      <c r="N13" s="67"/>
      <c r="O13" s="67"/>
      <c r="P13" s="67"/>
      <c r="Q13" s="67"/>
      <c r="R13" s="67"/>
      <c r="S13" s="67"/>
      <c r="T13" s="67"/>
      <c r="U13" s="67"/>
      <c r="V13" s="67"/>
    </row>
    <row r="14" spans="1:22" ht="29.25">
      <c r="A14" s="108"/>
      <c r="B14" s="188" t="s">
        <v>263</v>
      </c>
      <c r="C14" s="194"/>
      <c r="D14" s="386">
        <f>17243-40</f>
        <v>17203</v>
      </c>
      <c r="E14" s="247">
        <v>15962</v>
      </c>
      <c r="F14" s="309">
        <v>17280</v>
      </c>
      <c r="G14" s="135">
        <v>17814</v>
      </c>
      <c r="H14" s="136"/>
      <c r="I14" s="309"/>
      <c r="J14" s="136"/>
      <c r="K14" s="323"/>
      <c r="L14" s="103"/>
      <c r="M14" s="67"/>
      <c r="N14" s="67"/>
      <c r="O14" s="67"/>
      <c r="P14" s="67"/>
      <c r="Q14" s="67"/>
      <c r="R14" s="67"/>
      <c r="S14" s="67"/>
      <c r="T14" s="67"/>
      <c r="U14" s="67"/>
      <c r="V14" s="67"/>
    </row>
    <row r="15" spans="1:22" ht="15">
      <c r="A15" s="108"/>
      <c r="B15" s="188" t="s">
        <v>264</v>
      </c>
      <c r="C15" s="194"/>
      <c r="D15" s="386">
        <v>240339</v>
      </c>
      <c r="E15" s="247">
        <v>233420</v>
      </c>
      <c r="F15" s="309">
        <v>209395</v>
      </c>
      <c r="G15" s="135">
        <v>201412</v>
      </c>
      <c r="H15" s="136"/>
      <c r="I15" s="309"/>
      <c r="J15" s="136"/>
      <c r="K15" s="323"/>
      <c r="L15" s="103"/>
      <c r="M15" s="67"/>
      <c r="N15" s="67"/>
      <c r="O15" s="67"/>
      <c r="P15" s="67"/>
      <c r="Q15" s="67"/>
      <c r="R15" s="67"/>
      <c r="S15" s="67"/>
      <c r="T15" s="67"/>
      <c r="U15" s="67"/>
      <c r="V15" s="67"/>
    </row>
    <row r="16" spans="1:22" ht="15">
      <c r="A16" s="108"/>
      <c r="B16" s="188" t="s">
        <v>265</v>
      </c>
      <c r="C16" s="197"/>
      <c r="D16" s="386">
        <f>36558-81</f>
        <v>36477</v>
      </c>
      <c r="E16" s="247">
        <v>38378</v>
      </c>
      <c r="F16" s="309">
        <v>35567</v>
      </c>
      <c r="G16" s="135">
        <v>33231</v>
      </c>
      <c r="H16" s="136"/>
      <c r="I16" s="309"/>
      <c r="J16" s="136"/>
      <c r="K16" s="323"/>
      <c r="L16" s="103"/>
      <c r="M16" s="67"/>
      <c r="N16" s="67"/>
      <c r="O16" s="67"/>
      <c r="P16" s="67"/>
      <c r="Q16" s="67"/>
      <c r="R16" s="67"/>
      <c r="S16" s="67"/>
      <c r="T16" s="67"/>
      <c r="U16" s="67"/>
      <c r="V16" s="67"/>
    </row>
    <row r="17" spans="1:22" ht="15">
      <c r="A17" s="108"/>
      <c r="B17" s="188" t="s">
        <v>386</v>
      </c>
      <c r="C17" s="197"/>
      <c r="D17" s="386">
        <v>4981</v>
      </c>
      <c r="E17" s="247">
        <v>4620</v>
      </c>
      <c r="F17" s="309">
        <v>4397</v>
      </c>
      <c r="G17" s="135">
        <v>4039</v>
      </c>
      <c r="H17" s="136"/>
      <c r="I17" s="309"/>
      <c r="J17" s="136"/>
      <c r="K17" s="323"/>
      <c r="L17" s="103"/>
      <c r="M17" s="67"/>
      <c r="N17" s="67"/>
      <c r="O17" s="67"/>
      <c r="P17" s="67"/>
      <c r="Q17" s="67"/>
      <c r="R17" s="67"/>
      <c r="S17" s="67"/>
      <c r="T17" s="67"/>
      <c r="U17" s="67"/>
      <c r="V17" s="67"/>
    </row>
    <row r="18" spans="1:22" ht="15">
      <c r="A18" s="108"/>
      <c r="B18" s="188" t="s">
        <v>266</v>
      </c>
      <c r="C18" s="194"/>
      <c r="D18" s="517"/>
      <c r="E18" s="247"/>
      <c r="F18" s="307"/>
      <c r="G18" s="135">
        <v>0</v>
      </c>
      <c r="H18" s="103"/>
      <c r="I18" s="386">
        <v>11724</v>
      </c>
      <c r="J18" s="309">
        <v>12376</v>
      </c>
      <c r="K18" s="309">
        <v>11159</v>
      </c>
      <c r="L18" s="136">
        <v>9946</v>
      </c>
      <c r="M18" s="67"/>
      <c r="N18" s="67"/>
      <c r="O18" s="67"/>
      <c r="P18" s="67"/>
      <c r="Q18" s="67"/>
      <c r="R18" s="67"/>
      <c r="S18" s="67"/>
      <c r="T18" s="67"/>
      <c r="U18" s="67"/>
      <c r="V18" s="67"/>
    </row>
    <row r="19" spans="1:22" ht="15">
      <c r="A19" s="108"/>
      <c r="B19" s="188" t="s">
        <v>267</v>
      </c>
      <c r="C19" s="194"/>
      <c r="D19" s="385">
        <v>1327</v>
      </c>
      <c r="E19" s="247">
        <v>1284</v>
      </c>
      <c r="F19" s="307">
        <v>1236</v>
      </c>
      <c r="G19" s="135">
        <v>970</v>
      </c>
      <c r="H19" s="103"/>
      <c r="I19" s="146"/>
      <c r="J19" s="103"/>
      <c r="K19" s="307"/>
      <c r="L19" s="103"/>
      <c r="M19" s="67"/>
      <c r="N19" s="67"/>
      <c r="O19" s="67"/>
      <c r="P19" s="67"/>
      <c r="Q19" s="67"/>
      <c r="R19" s="67"/>
      <c r="S19" s="67"/>
      <c r="T19" s="67"/>
      <c r="U19" s="67"/>
      <c r="V19" s="67"/>
    </row>
    <row r="20" spans="1:22" ht="15">
      <c r="A20" s="108"/>
      <c r="B20" s="188" t="s">
        <v>268</v>
      </c>
      <c r="C20" s="194"/>
      <c r="D20" s="386">
        <v>4802</v>
      </c>
      <c r="E20" s="247">
        <v>4802</v>
      </c>
      <c r="F20" s="309">
        <v>4802</v>
      </c>
      <c r="G20" s="135">
        <v>4802</v>
      </c>
      <c r="H20" s="136"/>
      <c r="I20" s="146"/>
      <c r="J20" s="307"/>
      <c r="K20" s="307"/>
      <c r="L20" s="103"/>
      <c r="M20" s="67"/>
      <c r="N20" s="67"/>
      <c r="O20" s="67"/>
      <c r="P20" s="67"/>
      <c r="Q20" s="67"/>
      <c r="R20" s="67"/>
      <c r="S20" s="67"/>
      <c r="T20" s="67"/>
      <c r="U20" s="67"/>
      <c r="V20" s="67"/>
    </row>
    <row r="21" spans="1:22" ht="15">
      <c r="A21" s="108"/>
      <c r="B21" s="166" t="s">
        <v>269</v>
      </c>
      <c r="C21" s="194"/>
      <c r="D21" s="386">
        <v>936</v>
      </c>
      <c r="E21" s="247">
        <v>913</v>
      </c>
      <c r="F21" s="309">
        <v>945</v>
      </c>
      <c r="G21" s="135">
        <v>992</v>
      </c>
      <c r="H21" s="136"/>
      <c r="I21" s="146"/>
      <c r="J21" s="103"/>
      <c r="K21" s="307"/>
      <c r="L21" s="103"/>
      <c r="M21" s="67"/>
      <c r="N21" s="67"/>
      <c r="O21" s="67"/>
      <c r="P21" s="67"/>
      <c r="Q21" s="67"/>
      <c r="R21" s="67"/>
      <c r="S21" s="67"/>
      <c r="T21" s="67"/>
      <c r="U21" s="67"/>
      <c r="V21" s="67"/>
    </row>
    <row r="22" spans="1:22" ht="15">
      <c r="A22" s="108"/>
      <c r="B22" s="166" t="s">
        <v>270</v>
      </c>
      <c r="C22" s="194"/>
      <c r="D22" s="146">
        <v>500</v>
      </c>
      <c r="E22" s="247">
        <v>504</v>
      </c>
      <c r="F22" s="307">
        <v>497</v>
      </c>
      <c r="G22" s="135">
        <v>369</v>
      </c>
      <c r="H22" s="103"/>
      <c r="I22" s="146"/>
      <c r="J22" s="307"/>
      <c r="K22" s="307"/>
      <c r="L22" s="103"/>
      <c r="M22" s="67"/>
      <c r="N22" s="67"/>
      <c r="O22" s="67"/>
      <c r="P22" s="67"/>
      <c r="Q22" s="67"/>
      <c r="R22" s="67"/>
      <c r="S22" s="67"/>
      <c r="T22" s="67"/>
      <c r="U22" s="67"/>
      <c r="V22" s="67"/>
    </row>
    <row r="23" spans="1:22" ht="15">
      <c r="A23" s="108"/>
      <c r="B23" s="188" t="s">
        <v>271</v>
      </c>
      <c r="C23" s="194"/>
      <c r="D23" s="146">
        <v>183</v>
      </c>
      <c r="E23" s="247">
        <v>189</v>
      </c>
      <c r="F23" s="307">
        <v>91</v>
      </c>
      <c r="G23" s="135">
        <v>123</v>
      </c>
      <c r="H23" s="103"/>
      <c r="I23" s="146"/>
      <c r="J23" s="103"/>
      <c r="K23" s="307"/>
      <c r="L23" s="103"/>
      <c r="M23" s="67"/>
      <c r="N23" s="67"/>
      <c r="O23" s="67"/>
      <c r="P23" s="67"/>
      <c r="Q23" s="67"/>
      <c r="R23" s="67"/>
      <c r="S23" s="67"/>
      <c r="T23" s="67"/>
      <c r="U23" s="67"/>
      <c r="V23" s="67"/>
    </row>
    <row r="24" spans="1:22" ht="15">
      <c r="A24" s="108"/>
      <c r="B24" s="188" t="s">
        <v>272</v>
      </c>
      <c r="C24" s="194"/>
      <c r="D24" s="386">
        <f>12484+40-895</f>
        <v>11629</v>
      </c>
      <c r="E24" s="247">
        <v>11812</v>
      </c>
      <c r="F24" s="309">
        <v>8611</v>
      </c>
      <c r="G24" s="135">
        <v>12308</v>
      </c>
      <c r="H24" s="136"/>
      <c r="I24" s="418"/>
      <c r="J24" s="418"/>
      <c r="K24" s="569"/>
      <c r="L24" s="569"/>
      <c r="M24" s="67"/>
      <c r="N24" s="67"/>
      <c r="O24" s="67"/>
      <c r="P24" s="67"/>
      <c r="Q24" s="67"/>
      <c r="R24" s="67"/>
      <c r="S24" s="67"/>
      <c r="T24" s="67"/>
      <c r="U24" s="67"/>
      <c r="V24" s="67"/>
    </row>
    <row r="25" spans="1:22" ht="15">
      <c r="A25" s="108"/>
      <c r="B25" s="195"/>
      <c r="C25" s="194"/>
      <c r="D25" s="517"/>
      <c r="E25" s="307"/>
      <c r="F25" s="307"/>
      <c r="G25" s="103"/>
      <c r="H25" s="147"/>
      <c r="I25" s="146"/>
      <c r="J25" s="103"/>
      <c r="K25" s="307"/>
      <c r="L25" s="103"/>
      <c r="M25" s="67"/>
      <c r="N25" s="67"/>
      <c r="O25" s="67"/>
      <c r="P25" s="67"/>
      <c r="Q25" s="67"/>
      <c r="R25" s="67"/>
      <c r="S25" s="67"/>
      <c r="T25" s="67"/>
      <c r="U25" s="67"/>
      <c r="V25" s="67"/>
    </row>
    <row r="26" spans="1:22" ht="15.75" thickBot="1">
      <c r="A26" s="108"/>
      <c r="B26" s="195"/>
      <c r="C26" s="194"/>
      <c r="D26" s="518"/>
      <c r="E26" s="308"/>
      <c r="F26" s="308"/>
      <c r="G26" s="145"/>
      <c r="H26" s="151"/>
      <c r="I26" s="387"/>
      <c r="J26" s="308"/>
      <c r="K26" s="308"/>
      <c r="L26" s="145"/>
      <c r="M26" s="67"/>
      <c r="N26" s="67"/>
      <c r="O26" s="67"/>
      <c r="P26" s="67"/>
      <c r="Q26" s="67"/>
      <c r="R26" s="67"/>
      <c r="S26" s="67"/>
      <c r="T26" s="67"/>
      <c r="U26" s="67"/>
      <c r="V26" s="67"/>
    </row>
    <row r="27" spans="1:22" ht="15.75" thickBot="1">
      <c r="A27" s="108"/>
      <c r="B27" s="176" t="s">
        <v>273</v>
      </c>
      <c r="C27" s="152"/>
      <c r="D27" s="549">
        <f>SUM(D10:D26)</f>
        <v>401373</v>
      </c>
      <c r="E27" s="338">
        <v>386600</v>
      </c>
      <c r="F27" s="338">
        <f>SUM(F10:F26)</f>
        <v>353033</v>
      </c>
      <c r="G27" s="338">
        <v>360602</v>
      </c>
      <c r="H27" s="150"/>
      <c r="I27" s="549">
        <f>SUM(I10:I26)</f>
        <v>11724</v>
      </c>
      <c r="J27" s="346">
        <v>12376</v>
      </c>
      <c r="K27" s="338">
        <f>SUM(K10:K26)</f>
        <v>11159</v>
      </c>
      <c r="L27" s="338">
        <v>9946</v>
      </c>
      <c r="M27" s="67"/>
      <c r="N27" s="67"/>
      <c r="O27" s="67"/>
      <c r="P27" s="67"/>
      <c r="Q27" s="67"/>
      <c r="R27" s="67"/>
      <c r="S27" s="67"/>
      <c r="T27" s="67"/>
      <c r="U27" s="67"/>
      <c r="V27" s="67"/>
    </row>
    <row r="28" spans="1:22" ht="15">
      <c r="A28" s="108"/>
      <c r="B28" s="198"/>
      <c r="C28" s="175"/>
      <c r="D28" s="524"/>
      <c r="E28" s="339"/>
      <c r="F28" s="339"/>
      <c r="G28" s="147"/>
      <c r="H28" s="147"/>
      <c r="I28" s="307"/>
      <c r="J28" s="103"/>
      <c r="K28" s="341"/>
      <c r="L28" s="103"/>
      <c r="M28" s="67"/>
      <c r="N28" s="67"/>
      <c r="O28" s="67"/>
      <c r="P28" s="67"/>
      <c r="Q28" s="67"/>
      <c r="R28" s="67"/>
      <c r="S28" s="67"/>
      <c r="T28" s="67"/>
      <c r="U28" s="67"/>
      <c r="V28" s="67"/>
    </row>
    <row r="29" spans="1:22" ht="15">
      <c r="A29" s="108"/>
      <c r="B29" s="199" t="s">
        <v>274</v>
      </c>
      <c r="C29" s="194"/>
      <c r="D29" s="523"/>
      <c r="E29" s="340"/>
      <c r="F29" s="340"/>
      <c r="G29" s="147"/>
      <c r="H29" s="147"/>
      <c r="I29" s="307"/>
      <c r="J29" s="103"/>
      <c r="K29" s="341"/>
      <c r="L29" s="103"/>
      <c r="M29" s="67"/>
      <c r="N29" s="67"/>
      <c r="O29" s="67"/>
      <c r="P29" s="67"/>
      <c r="Q29" s="67"/>
      <c r="R29" s="67"/>
      <c r="S29" s="67"/>
      <c r="T29" s="67"/>
      <c r="U29" s="67"/>
      <c r="V29" s="67"/>
    </row>
    <row r="30" spans="1:22" ht="14.25">
      <c r="A30" s="108"/>
      <c r="B30" s="188"/>
      <c r="C30" s="194"/>
      <c r="D30" s="523"/>
      <c r="E30" s="340"/>
      <c r="F30" s="340"/>
      <c r="G30" s="147"/>
      <c r="H30" s="147"/>
      <c r="I30" s="307"/>
      <c r="J30" s="103"/>
      <c r="K30" s="341"/>
      <c r="L30" s="103"/>
      <c r="M30" s="67"/>
      <c r="N30" s="67"/>
      <c r="O30" s="67"/>
      <c r="P30" s="67"/>
      <c r="Q30" s="67"/>
      <c r="R30" s="67"/>
      <c r="S30" s="67"/>
      <c r="T30" s="67"/>
      <c r="U30" s="67"/>
      <c r="V30" s="67"/>
    </row>
    <row r="31" spans="1:22" ht="15">
      <c r="A31" s="108"/>
      <c r="B31" s="188" t="s">
        <v>275</v>
      </c>
      <c r="C31" s="194"/>
      <c r="D31" s="386">
        <v>27837</v>
      </c>
      <c r="E31" s="309">
        <v>26434</v>
      </c>
      <c r="F31" s="309">
        <v>25162</v>
      </c>
      <c r="G31" s="136">
        <v>28118</v>
      </c>
      <c r="H31" s="136"/>
      <c r="I31" s="309"/>
      <c r="J31" s="136"/>
      <c r="K31" s="323"/>
      <c r="L31" s="103"/>
      <c r="M31" s="67"/>
      <c r="N31" s="67"/>
      <c r="O31" s="67"/>
      <c r="P31" s="67"/>
      <c r="Q31" s="67"/>
      <c r="R31" s="67"/>
      <c r="S31" s="67"/>
      <c r="T31" s="67"/>
      <c r="U31" s="67"/>
      <c r="V31" s="67"/>
    </row>
    <row r="32" spans="1:22" ht="15">
      <c r="A32" s="108"/>
      <c r="B32" s="188" t="s">
        <v>276</v>
      </c>
      <c r="C32" s="194"/>
      <c r="D32" s="386">
        <v>268656</v>
      </c>
      <c r="E32" s="309">
        <v>259804</v>
      </c>
      <c r="F32" s="309">
        <v>241165</v>
      </c>
      <c r="G32" s="136">
        <v>236483</v>
      </c>
      <c r="H32" s="136"/>
      <c r="I32" s="309"/>
      <c r="J32" s="136"/>
      <c r="K32" s="323"/>
      <c r="L32" s="103"/>
      <c r="M32" s="67"/>
      <c r="N32" s="67"/>
      <c r="O32" s="67"/>
      <c r="P32" s="67"/>
      <c r="Q32" s="67"/>
      <c r="R32" s="67"/>
      <c r="S32" s="67"/>
      <c r="T32" s="67"/>
      <c r="U32" s="67"/>
      <c r="V32" s="67"/>
    </row>
    <row r="33" spans="1:22" ht="29.25">
      <c r="A33" s="108"/>
      <c r="B33" s="188" t="s">
        <v>300</v>
      </c>
      <c r="C33" s="194"/>
      <c r="D33" s="386">
        <v>9494</v>
      </c>
      <c r="E33" s="309">
        <v>8910</v>
      </c>
      <c r="F33" s="309">
        <v>7849</v>
      </c>
      <c r="G33" s="136">
        <v>11041</v>
      </c>
      <c r="H33" s="136"/>
      <c r="I33" s="309"/>
      <c r="J33" s="136"/>
      <c r="K33" s="323"/>
      <c r="L33" s="103"/>
      <c r="M33" s="67"/>
      <c r="N33" s="67"/>
      <c r="O33" s="67"/>
      <c r="P33" s="67"/>
      <c r="Q33" s="67"/>
      <c r="R33" s="67"/>
      <c r="S33" s="67"/>
      <c r="T33" s="67"/>
      <c r="U33" s="67"/>
      <c r="V33" s="67"/>
    </row>
    <row r="34" spans="1:22" ht="29.25">
      <c r="A34" s="108"/>
      <c r="B34" s="188" t="s">
        <v>277</v>
      </c>
      <c r="C34" s="194"/>
      <c r="D34" s="386">
        <f>17122-21</f>
        <v>17101</v>
      </c>
      <c r="E34" s="309">
        <v>16802</v>
      </c>
      <c r="F34" s="309">
        <v>17532</v>
      </c>
      <c r="G34" s="136">
        <v>17721</v>
      </c>
      <c r="H34" s="136"/>
      <c r="I34" s="309"/>
      <c r="J34" s="136"/>
      <c r="K34" s="323"/>
      <c r="L34" s="103"/>
      <c r="M34" s="67"/>
      <c r="N34" s="67"/>
      <c r="O34" s="67"/>
      <c r="P34" s="67"/>
      <c r="Q34" s="67"/>
      <c r="R34" s="67"/>
      <c r="S34" s="67"/>
      <c r="T34" s="67"/>
      <c r="U34" s="67"/>
      <c r="V34" s="67"/>
    </row>
    <row r="35" spans="1:22" ht="15">
      <c r="A35" s="108"/>
      <c r="B35" s="188" t="s">
        <v>278</v>
      </c>
      <c r="C35" s="194"/>
      <c r="D35" s="146">
        <v>237</v>
      </c>
      <c r="E35" s="307">
        <v>261</v>
      </c>
      <c r="F35" s="307">
        <v>316</v>
      </c>
      <c r="G35" s="135">
        <v>342</v>
      </c>
      <c r="H35" s="103"/>
      <c r="I35" s="307"/>
      <c r="J35" s="103"/>
      <c r="K35" s="341"/>
      <c r="L35" s="103"/>
      <c r="M35" s="67"/>
      <c r="N35" s="67"/>
      <c r="O35" s="67"/>
      <c r="P35" s="67"/>
      <c r="Q35" s="67"/>
      <c r="R35" s="67"/>
      <c r="S35" s="67"/>
      <c r="T35" s="67"/>
      <c r="U35" s="67"/>
      <c r="V35" s="67"/>
    </row>
    <row r="36" spans="1:22" ht="15">
      <c r="A36" s="108"/>
      <c r="B36" s="188" t="s">
        <v>279</v>
      </c>
      <c r="C36" s="200"/>
      <c r="D36" s="386">
        <v>1014</v>
      </c>
      <c r="E36" s="307">
        <v>983</v>
      </c>
      <c r="F36" s="307">
        <v>824</v>
      </c>
      <c r="G36" s="135">
        <v>967</v>
      </c>
      <c r="H36" s="103"/>
      <c r="I36" s="307"/>
      <c r="J36" s="103"/>
      <c r="K36" s="341"/>
      <c r="L36" s="103"/>
      <c r="M36" s="67"/>
      <c r="N36" s="67"/>
      <c r="O36" s="67"/>
      <c r="P36" s="67"/>
      <c r="Q36" s="67"/>
      <c r="R36" s="67"/>
      <c r="S36" s="67"/>
      <c r="T36" s="67"/>
      <c r="U36" s="67"/>
      <c r="V36" s="67"/>
    </row>
    <row r="37" spans="1:22" ht="15">
      <c r="A37" s="108"/>
      <c r="B37" s="188" t="s">
        <v>280</v>
      </c>
      <c r="C37" s="194"/>
      <c r="D37" s="146">
        <v>43</v>
      </c>
      <c r="E37" s="307">
        <v>45</v>
      </c>
      <c r="F37" s="307">
        <v>30</v>
      </c>
      <c r="G37" s="135">
        <v>29</v>
      </c>
      <c r="H37" s="103"/>
      <c r="I37" s="307"/>
      <c r="J37" s="103"/>
      <c r="K37" s="341"/>
      <c r="L37" s="103"/>
      <c r="M37" s="67"/>
      <c r="N37" s="67"/>
      <c r="O37" s="67"/>
      <c r="P37" s="67"/>
      <c r="Q37" s="67"/>
      <c r="R37" s="67"/>
      <c r="S37" s="67"/>
      <c r="T37" s="67"/>
      <c r="U37" s="67"/>
      <c r="V37" s="67"/>
    </row>
    <row r="38" spans="1:22" ht="15">
      <c r="A38" s="108"/>
      <c r="B38" s="188" t="s">
        <v>281</v>
      </c>
      <c r="C38" s="195"/>
      <c r="D38" s="386">
        <f>13106+21-895</f>
        <v>12232</v>
      </c>
      <c r="E38" s="309">
        <v>11073</v>
      </c>
      <c r="F38" s="309">
        <v>8416</v>
      </c>
      <c r="G38" s="135">
        <v>11862</v>
      </c>
      <c r="H38" s="136"/>
      <c r="I38" s="146">
        <v>10</v>
      </c>
      <c r="J38" s="307">
        <v>18</v>
      </c>
      <c r="K38" s="307">
        <v>8</v>
      </c>
      <c r="L38" s="103">
        <v>7</v>
      </c>
      <c r="M38" s="67"/>
      <c r="N38" s="67"/>
      <c r="O38" s="67"/>
      <c r="P38" s="67"/>
      <c r="Q38" s="67"/>
      <c r="R38" s="67"/>
      <c r="S38" s="67"/>
      <c r="T38" s="67"/>
      <c r="U38" s="67"/>
      <c r="V38" s="67"/>
    </row>
    <row r="39" spans="1:22" ht="15">
      <c r="A39" s="108"/>
      <c r="B39" s="188" t="s">
        <v>282</v>
      </c>
      <c r="C39" s="194"/>
      <c r="D39" s="386">
        <v>22342</v>
      </c>
      <c r="E39" s="309">
        <v>20048</v>
      </c>
      <c r="F39" s="309">
        <v>10236</v>
      </c>
      <c r="G39" s="135">
        <v>13692</v>
      </c>
      <c r="H39" s="103"/>
      <c r="I39" s="146"/>
      <c r="J39" s="103"/>
      <c r="K39" s="307"/>
      <c r="L39" s="103"/>
      <c r="M39" s="67"/>
      <c r="N39" s="67"/>
      <c r="O39" s="67"/>
      <c r="P39" s="67"/>
      <c r="Q39" s="67"/>
      <c r="R39" s="67"/>
      <c r="S39" s="67"/>
      <c r="T39" s="67"/>
      <c r="U39" s="67"/>
      <c r="V39" s="67"/>
    </row>
    <row r="40" spans="1:22" ht="15">
      <c r="A40" s="108"/>
      <c r="B40" s="188" t="s">
        <v>283</v>
      </c>
      <c r="C40" s="194"/>
      <c r="D40" s="386">
        <v>5528</v>
      </c>
      <c r="E40" s="309">
        <v>5532</v>
      </c>
      <c r="F40" s="309">
        <v>5505</v>
      </c>
      <c r="G40" s="136">
        <v>5507</v>
      </c>
      <c r="H40" s="136"/>
      <c r="I40" s="146"/>
      <c r="J40" s="307"/>
      <c r="K40" s="307"/>
      <c r="L40" s="103"/>
      <c r="M40" s="67"/>
      <c r="N40" s="67"/>
      <c r="O40" s="67"/>
      <c r="P40" s="67"/>
      <c r="Q40" s="67"/>
      <c r="R40" s="67"/>
      <c r="S40" s="67"/>
      <c r="T40" s="67"/>
      <c r="U40" s="67"/>
      <c r="V40" s="67"/>
    </row>
    <row r="41" spans="1:22" ht="15.75" thickBot="1">
      <c r="A41" s="108"/>
      <c r="B41" s="188"/>
      <c r="C41" s="194"/>
      <c r="D41" s="518"/>
      <c r="E41" s="308"/>
      <c r="F41" s="308"/>
      <c r="G41" s="145"/>
      <c r="H41" s="151"/>
      <c r="I41" s="387"/>
      <c r="J41" s="145"/>
      <c r="K41" s="308"/>
      <c r="L41" s="145"/>
      <c r="M41" s="67"/>
      <c r="N41" s="67"/>
      <c r="O41" s="67"/>
      <c r="P41" s="67"/>
      <c r="Q41" s="67"/>
      <c r="R41" s="67"/>
      <c r="S41" s="67"/>
      <c r="T41" s="67"/>
      <c r="U41" s="67"/>
      <c r="V41" s="67"/>
    </row>
    <row r="42" spans="1:22" ht="15.75" thickBot="1">
      <c r="A42" s="108"/>
      <c r="B42" s="199" t="s">
        <v>284</v>
      </c>
      <c r="C42" s="199"/>
      <c r="D42" s="549">
        <f>SUM(D31:D41)</f>
        <v>364484</v>
      </c>
      <c r="E42" s="338">
        <v>349892</v>
      </c>
      <c r="F42" s="338">
        <f>SUM(F31:F41)</f>
        <v>317035</v>
      </c>
      <c r="G42" s="338">
        <v>325762</v>
      </c>
      <c r="H42" s="150"/>
      <c r="I42" s="408">
        <f>SUM(I31:I41)</f>
        <v>10</v>
      </c>
      <c r="J42" s="310">
        <v>18</v>
      </c>
      <c r="K42" s="310">
        <f>SUM(K31:K41)</f>
        <v>8</v>
      </c>
      <c r="L42" s="310">
        <v>7</v>
      </c>
      <c r="M42" s="67"/>
      <c r="N42" s="67"/>
      <c r="O42" s="67"/>
      <c r="P42" s="67"/>
      <c r="Q42" s="67"/>
      <c r="R42" s="67"/>
      <c r="S42" s="67"/>
      <c r="T42" s="67"/>
      <c r="U42" s="67"/>
      <c r="V42" s="67"/>
    </row>
    <row r="43" spans="1:22" ht="15.75" thickBot="1">
      <c r="A43" s="108"/>
      <c r="B43" s="195"/>
      <c r="C43" s="194"/>
      <c r="D43" s="518"/>
      <c r="E43" s="308"/>
      <c r="F43" s="308"/>
      <c r="G43" s="308"/>
      <c r="H43" s="151"/>
      <c r="I43" s="387"/>
      <c r="J43" s="145"/>
      <c r="K43" s="308"/>
      <c r="L43" s="145"/>
      <c r="M43" s="67"/>
      <c r="N43" s="67"/>
      <c r="O43" s="67"/>
      <c r="P43" s="67"/>
      <c r="Q43" s="67"/>
      <c r="R43" s="67"/>
      <c r="S43" s="67"/>
      <c r="T43" s="67"/>
      <c r="U43" s="67"/>
      <c r="V43" s="67"/>
    </row>
    <row r="44" spans="1:22" ht="15.75" thickBot="1">
      <c r="A44" s="108"/>
      <c r="B44" s="550" t="s">
        <v>285</v>
      </c>
      <c r="C44" s="194"/>
      <c r="D44" s="548">
        <f>D27-D42</f>
        <v>36889</v>
      </c>
      <c r="E44" s="344">
        <v>36708</v>
      </c>
      <c r="F44" s="344">
        <f>F27-F42</f>
        <v>35998</v>
      </c>
      <c r="G44" s="344">
        <v>34840</v>
      </c>
      <c r="H44" s="345"/>
      <c r="I44" s="548">
        <f>I27-I42</f>
        <v>11714</v>
      </c>
      <c r="J44" s="344">
        <v>12358</v>
      </c>
      <c r="K44" s="344">
        <f>K27-K42</f>
        <v>11151</v>
      </c>
      <c r="L44" s="345">
        <v>9939</v>
      </c>
      <c r="M44" s="67"/>
      <c r="N44" s="67"/>
      <c r="O44" s="67"/>
      <c r="P44" s="67"/>
      <c r="Q44" s="67"/>
      <c r="R44" s="67"/>
      <c r="S44" s="67"/>
      <c r="T44" s="67"/>
      <c r="U44" s="67"/>
      <c r="V44" s="67"/>
    </row>
    <row r="45" spans="1:22" ht="15.75" thickTop="1">
      <c r="A45" s="108"/>
      <c r="B45" s="195"/>
      <c r="C45" s="194"/>
      <c r="D45" s="517"/>
      <c r="E45" s="307"/>
      <c r="F45" s="307"/>
      <c r="G45" s="147"/>
      <c r="H45" s="147"/>
      <c r="I45" s="146"/>
      <c r="J45" s="103"/>
      <c r="K45" s="341"/>
      <c r="L45" s="103"/>
      <c r="M45" s="67"/>
      <c r="N45" s="67"/>
      <c r="O45" s="67"/>
      <c r="P45" s="67"/>
      <c r="Q45" s="67"/>
      <c r="R45" s="67"/>
      <c r="S45" s="67"/>
      <c r="T45" s="67"/>
      <c r="U45" s="67"/>
      <c r="V45" s="67"/>
    </row>
    <row r="46" spans="1:22" ht="15">
      <c r="A46" s="108"/>
      <c r="B46" s="176" t="s">
        <v>286</v>
      </c>
      <c r="C46" s="201"/>
      <c r="D46" s="517"/>
      <c r="E46" s="307"/>
      <c r="F46" s="341"/>
      <c r="G46" s="147"/>
      <c r="H46" s="147"/>
      <c r="I46" s="146"/>
      <c r="J46" s="307"/>
      <c r="K46" s="341"/>
      <c r="L46" s="103"/>
      <c r="M46" s="67"/>
      <c r="N46" s="67"/>
      <c r="O46" s="67"/>
      <c r="P46" s="67"/>
      <c r="Q46" s="67"/>
      <c r="R46" s="67"/>
      <c r="S46" s="67"/>
      <c r="T46" s="67"/>
      <c r="U46" s="67"/>
      <c r="V46" s="67"/>
    </row>
    <row r="47" spans="1:22" ht="15">
      <c r="A47" s="108"/>
      <c r="B47" s="195"/>
      <c r="C47" s="194"/>
      <c r="D47" s="517"/>
      <c r="E47" s="307"/>
      <c r="F47" s="341"/>
      <c r="G47" s="147"/>
      <c r="H47" s="147"/>
      <c r="I47" s="146"/>
      <c r="J47" s="103"/>
      <c r="K47" s="341"/>
      <c r="L47" s="103"/>
      <c r="M47" s="67"/>
      <c r="N47" s="67"/>
      <c r="O47" s="67"/>
      <c r="P47" s="67"/>
      <c r="Q47" s="67"/>
      <c r="R47" s="67"/>
      <c r="S47" s="67"/>
      <c r="T47" s="67"/>
      <c r="U47" s="67"/>
      <c r="V47" s="67"/>
    </row>
    <row r="48" spans="1:22" ht="15">
      <c r="A48" s="108"/>
      <c r="B48" s="188" t="s">
        <v>119</v>
      </c>
      <c r="C48" s="194"/>
      <c r="D48" s="386">
        <v>9769</v>
      </c>
      <c r="E48" s="309">
        <v>9729</v>
      </c>
      <c r="F48" s="309">
        <v>9645</v>
      </c>
      <c r="G48" s="136">
        <v>9642</v>
      </c>
      <c r="H48" s="136"/>
      <c r="I48" s="386">
        <v>9769</v>
      </c>
      <c r="J48" s="309">
        <v>9729</v>
      </c>
      <c r="K48" s="309">
        <v>9645</v>
      </c>
      <c r="L48" s="136">
        <v>9642</v>
      </c>
      <c r="M48" s="67"/>
      <c r="N48" s="67"/>
      <c r="O48" s="67"/>
      <c r="P48" s="67"/>
      <c r="Q48" s="67"/>
      <c r="R48" s="67"/>
      <c r="S48" s="67"/>
      <c r="T48" s="67"/>
      <c r="U48" s="67"/>
      <c r="V48" s="67"/>
    </row>
    <row r="49" spans="1:22" ht="15">
      <c r="A49" s="108"/>
      <c r="B49" s="188" t="s">
        <v>287</v>
      </c>
      <c r="C49" s="194"/>
      <c r="D49" s="385">
        <v>-94</v>
      </c>
      <c r="E49" s="247">
        <v>-87</v>
      </c>
      <c r="F49" s="247">
        <v>-103</v>
      </c>
      <c r="G49" s="135">
        <v>-106</v>
      </c>
      <c r="H49" s="103"/>
      <c r="I49" s="385">
        <f>-66</f>
        <v>-66</v>
      </c>
      <c r="J49" s="135">
        <v>-58</v>
      </c>
      <c r="K49" s="247">
        <v>-71</v>
      </c>
      <c r="L49" s="155">
        <v>-71</v>
      </c>
      <c r="M49" s="67"/>
      <c r="N49" s="67"/>
      <c r="O49" s="67"/>
      <c r="P49" s="67"/>
      <c r="Q49" s="67"/>
      <c r="R49" s="67"/>
      <c r="S49" s="67"/>
      <c r="T49" s="67"/>
      <c r="U49" s="67"/>
      <c r="V49" s="67"/>
    </row>
    <row r="50" spans="1:22" ht="15">
      <c r="A50" s="108"/>
      <c r="B50" s="188" t="s">
        <v>288</v>
      </c>
      <c r="C50" s="194"/>
      <c r="D50" s="386">
        <v>6609</v>
      </c>
      <c r="E50" s="309">
        <v>6681</v>
      </c>
      <c r="F50" s="309">
        <v>7229</v>
      </c>
      <c r="G50" s="136">
        <v>7235</v>
      </c>
      <c r="H50" s="136"/>
      <c r="I50" s="146">
        <v>117</v>
      </c>
      <c r="J50" s="307">
        <v>99</v>
      </c>
      <c r="K50" s="307">
        <v>101</v>
      </c>
      <c r="L50" s="103">
        <v>89</v>
      </c>
      <c r="M50" s="67"/>
      <c r="N50" s="67"/>
      <c r="O50" s="67"/>
      <c r="P50" s="67"/>
      <c r="Q50" s="67"/>
      <c r="R50" s="67"/>
      <c r="S50" s="67"/>
      <c r="T50" s="67"/>
      <c r="U50" s="67"/>
      <c r="V50" s="67"/>
    </row>
    <row r="51" spans="1:22" ht="15">
      <c r="A51" s="108"/>
      <c r="B51" s="188" t="s">
        <v>289</v>
      </c>
      <c r="C51" s="194"/>
      <c r="D51" s="386">
        <v>16289</v>
      </c>
      <c r="E51" s="309">
        <v>16119</v>
      </c>
      <c r="F51" s="309">
        <v>14966</v>
      </c>
      <c r="G51" s="136">
        <v>13758</v>
      </c>
      <c r="H51" s="136"/>
      <c r="I51" s="386">
        <v>1894</v>
      </c>
      <c r="J51" s="136">
        <v>2588</v>
      </c>
      <c r="K51" s="309">
        <v>1476</v>
      </c>
      <c r="L51" s="136">
        <v>279</v>
      </c>
      <c r="M51" s="67"/>
      <c r="N51" s="67"/>
      <c r="O51" s="67"/>
      <c r="P51" s="67"/>
      <c r="Q51" s="67"/>
      <c r="R51" s="67"/>
      <c r="S51" s="67"/>
      <c r="T51" s="67"/>
      <c r="U51" s="67"/>
      <c r="V51" s="67"/>
    </row>
    <row r="52" spans="1:22" ht="15.75" thickBot="1">
      <c r="A52" s="108"/>
      <c r="B52" s="195"/>
      <c r="C52" s="188"/>
      <c r="D52" s="518"/>
      <c r="E52" s="308"/>
      <c r="F52" s="308"/>
      <c r="G52" s="145"/>
      <c r="H52" s="151"/>
      <c r="I52" s="387"/>
      <c r="J52" s="308"/>
      <c r="K52" s="308"/>
      <c r="L52" s="145"/>
      <c r="M52" s="67"/>
      <c r="N52" s="67"/>
      <c r="O52" s="67"/>
      <c r="P52" s="67"/>
      <c r="Q52" s="67"/>
      <c r="R52" s="67"/>
      <c r="S52" s="67"/>
      <c r="T52" s="67"/>
      <c r="U52" s="67"/>
      <c r="V52" s="67"/>
    </row>
    <row r="53" spans="1:22" ht="15.75" thickBot="1">
      <c r="A53" s="108"/>
      <c r="B53" s="199" t="s">
        <v>290</v>
      </c>
      <c r="C53" s="188"/>
      <c r="D53" s="549">
        <f>SUM(D48:D51)</f>
        <v>32573</v>
      </c>
      <c r="E53" s="338">
        <v>32442</v>
      </c>
      <c r="F53" s="338">
        <f>SUM(F48:F51)</f>
        <v>31737</v>
      </c>
      <c r="G53" s="338">
        <v>30529</v>
      </c>
      <c r="H53" s="346"/>
      <c r="I53" s="549">
        <f>SUM(I48:I51)</f>
        <v>11714</v>
      </c>
      <c r="J53" s="346">
        <v>12358</v>
      </c>
      <c r="K53" s="338">
        <f>SUM(K48:K51)</f>
        <v>11151</v>
      </c>
      <c r="L53" s="338">
        <v>9939</v>
      </c>
      <c r="M53" s="67"/>
      <c r="N53" s="67"/>
      <c r="O53" s="67"/>
      <c r="P53" s="67"/>
      <c r="Q53" s="67"/>
      <c r="R53" s="67"/>
      <c r="S53" s="67"/>
      <c r="T53" s="67"/>
      <c r="U53" s="67"/>
      <c r="V53" s="67"/>
    </row>
    <row r="54" spans="1:22" ht="15">
      <c r="A54" s="108"/>
      <c r="B54" s="195"/>
      <c r="C54" s="194"/>
      <c r="D54" s="146"/>
      <c r="E54" s="307"/>
      <c r="F54" s="307"/>
      <c r="G54" s="103"/>
      <c r="H54" s="147"/>
      <c r="I54" s="146"/>
      <c r="J54" s="307"/>
      <c r="K54" s="307"/>
      <c r="L54" s="103"/>
      <c r="M54" s="67"/>
      <c r="N54" s="67"/>
      <c r="O54" s="67"/>
      <c r="P54" s="67"/>
      <c r="Q54" s="67"/>
      <c r="R54" s="67"/>
      <c r="S54" s="67"/>
      <c r="T54" s="67"/>
      <c r="U54" s="67"/>
      <c r="V54" s="67"/>
    </row>
    <row r="55" spans="1:22" ht="15">
      <c r="A55" s="108"/>
      <c r="B55" s="188" t="s">
        <v>355</v>
      </c>
      <c r="C55" s="194"/>
      <c r="D55" s="386">
        <v>4316</v>
      </c>
      <c r="E55" s="309">
        <v>4266</v>
      </c>
      <c r="F55" s="309">
        <v>4261</v>
      </c>
      <c r="G55" s="136">
        <v>4311</v>
      </c>
      <c r="H55" s="136"/>
      <c r="I55" s="146"/>
      <c r="J55" s="103"/>
      <c r="K55" s="307"/>
      <c r="L55" s="103"/>
      <c r="M55" s="67"/>
      <c r="N55" s="67"/>
      <c r="O55" s="67"/>
      <c r="P55" s="67"/>
      <c r="Q55" s="67"/>
      <c r="R55" s="67"/>
      <c r="S55" s="67"/>
      <c r="T55" s="67"/>
      <c r="U55" s="67"/>
      <c r="V55" s="67"/>
    </row>
    <row r="56" spans="1:22" ht="15.75" thickBot="1">
      <c r="A56" s="108"/>
      <c r="B56" s="188"/>
      <c r="C56" s="188"/>
      <c r="D56" s="387"/>
      <c r="E56" s="308"/>
      <c r="F56" s="308"/>
      <c r="G56" s="145"/>
      <c r="H56" s="151"/>
      <c r="I56" s="387"/>
      <c r="J56" s="308"/>
      <c r="K56" s="308"/>
      <c r="L56" s="145"/>
      <c r="M56" s="67"/>
      <c r="N56" s="67"/>
      <c r="O56" s="67"/>
      <c r="P56" s="67"/>
      <c r="Q56" s="67"/>
      <c r="R56" s="67"/>
      <c r="S56" s="67"/>
      <c r="T56" s="67"/>
      <c r="U56" s="67"/>
      <c r="V56" s="67"/>
    </row>
    <row r="57" spans="1:22" ht="15.75" thickBot="1">
      <c r="A57" s="108"/>
      <c r="B57" s="199" t="s">
        <v>291</v>
      </c>
      <c r="C57" s="188"/>
      <c r="D57" s="548">
        <f>D53+D55</f>
        <v>36889</v>
      </c>
      <c r="E57" s="344">
        <v>36708</v>
      </c>
      <c r="F57" s="344">
        <f>F53+F55</f>
        <v>35998</v>
      </c>
      <c r="G57" s="344">
        <v>34840</v>
      </c>
      <c r="H57" s="345"/>
      <c r="I57" s="548">
        <f>I53+I55</f>
        <v>11714</v>
      </c>
      <c r="J57" s="345">
        <v>12358</v>
      </c>
      <c r="K57" s="344">
        <f>K53+K55</f>
        <v>11151</v>
      </c>
      <c r="L57" s="344">
        <v>9939</v>
      </c>
      <c r="M57" s="67"/>
      <c r="N57" s="67"/>
      <c r="O57" s="67"/>
      <c r="P57" s="67"/>
      <c r="Q57" s="67"/>
      <c r="R57" s="67"/>
      <c r="S57" s="67"/>
      <c r="T57" s="67"/>
      <c r="U57" s="67"/>
      <c r="V57" s="67"/>
    </row>
    <row r="58" spans="1:22" ht="15.75" thickTop="1">
      <c r="A58" s="108"/>
      <c r="B58" s="195"/>
      <c r="C58" s="194"/>
      <c r="D58" s="146"/>
      <c r="E58" s="341"/>
      <c r="F58" s="341"/>
      <c r="G58" s="147"/>
      <c r="H58" s="147"/>
      <c r="I58" s="307"/>
      <c r="J58" s="103"/>
      <c r="K58" s="307"/>
      <c r="L58" s="103"/>
      <c r="M58" s="67"/>
      <c r="N58" s="67"/>
      <c r="O58" s="67"/>
      <c r="P58" s="67"/>
      <c r="Q58" s="67"/>
      <c r="R58" s="67"/>
      <c r="S58" s="67"/>
      <c r="T58" s="67"/>
      <c r="U58" s="67"/>
      <c r="V58" s="67"/>
    </row>
    <row r="59" spans="1:22" ht="15">
      <c r="A59" s="108"/>
      <c r="B59" s="176" t="s">
        <v>292</v>
      </c>
      <c r="C59" s="176"/>
      <c r="D59" s="146"/>
      <c r="E59" s="341"/>
      <c r="F59" s="341"/>
      <c r="G59" s="147"/>
      <c r="H59" s="147"/>
      <c r="I59" s="307"/>
      <c r="J59" s="341"/>
      <c r="K59" s="341"/>
      <c r="L59" s="103"/>
      <c r="M59" s="67"/>
      <c r="N59" s="67"/>
      <c r="O59" s="67"/>
      <c r="P59" s="67"/>
      <c r="Q59" s="67"/>
      <c r="R59" s="67"/>
      <c r="S59" s="67"/>
      <c r="T59" s="67"/>
      <c r="U59" s="67"/>
      <c r="V59" s="67"/>
    </row>
    <row r="60" spans="1:22" ht="15">
      <c r="A60" s="108"/>
      <c r="B60" s="166" t="s">
        <v>340</v>
      </c>
      <c r="C60" s="194"/>
      <c r="D60" s="386">
        <v>22049</v>
      </c>
      <c r="E60" s="342">
        <v>20858</v>
      </c>
      <c r="F60" s="309">
        <v>21059</v>
      </c>
      <c r="G60" s="136">
        <v>19979</v>
      </c>
      <c r="H60" s="136"/>
      <c r="I60" s="309"/>
      <c r="J60" s="323"/>
      <c r="K60" s="323"/>
      <c r="L60" s="147"/>
      <c r="M60" s="67"/>
      <c r="N60" s="67"/>
      <c r="O60" s="67"/>
      <c r="P60" s="67"/>
      <c r="Q60" s="67"/>
      <c r="R60" s="67"/>
      <c r="S60" s="67"/>
      <c r="T60" s="67"/>
      <c r="U60" s="67"/>
      <c r="V60" s="67"/>
    </row>
    <row r="61" spans="1:22" ht="15">
      <c r="A61" s="108"/>
      <c r="B61" s="166" t="s">
        <v>339</v>
      </c>
      <c r="C61" s="194"/>
      <c r="D61" s="386">
        <v>154368</v>
      </c>
      <c r="E61" s="342">
        <v>147426</v>
      </c>
      <c r="F61" s="309">
        <v>136698</v>
      </c>
      <c r="G61" s="136">
        <v>133401</v>
      </c>
      <c r="H61" s="136"/>
      <c r="I61" s="528"/>
      <c r="J61" s="323"/>
      <c r="K61" s="323"/>
      <c r="L61" s="147"/>
      <c r="M61" s="67"/>
      <c r="N61" s="67"/>
      <c r="O61" s="67"/>
      <c r="P61" s="67"/>
      <c r="Q61" s="67"/>
      <c r="R61" s="67"/>
      <c r="S61" s="67"/>
      <c r="T61" s="67"/>
      <c r="U61" s="67"/>
      <c r="V61" s="67"/>
    </row>
    <row r="62" spans="1:22" ht="15.75" thickBot="1">
      <c r="A62" s="108"/>
      <c r="B62" s="188" t="s">
        <v>293</v>
      </c>
      <c r="C62" s="194"/>
      <c r="D62" s="408">
        <v>1563818</v>
      </c>
      <c r="E62" s="343">
        <v>1534756</v>
      </c>
      <c r="F62" s="310">
        <v>1426209</v>
      </c>
      <c r="G62" s="150">
        <v>1529509</v>
      </c>
      <c r="H62" s="205"/>
      <c r="I62" s="529"/>
      <c r="J62" s="347"/>
      <c r="K62" s="347"/>
      <c r="L62" s="147"/>
      <c r="M62" s="67"/>
      <c r="N62" s="67"/>
      <c r="O62" s="67"/>
      <c r="P62" s="67"/>
      <c r="Q62" s="67"/>
      <c r="R62" s="67"/>
      <c r="S62" s="67"/>
      <c r="T62" s="67"/>
      <c r="U62" s="67"/>
      <c r="V62" s="67"/>
    </row>
    <row r="63" spans="1:22" ht="15">
      <c r="A63" s="108"/>
      <c r="B63" s="188"/>
      <c r="C63" s="194"/>
      <c r="D63" s="146"/>
      <c r="E63" s="341"/>
      <c r="F63" s="341"/>
      <c r="G63" s="147"/>
      <c r="H63" s="147"/>
      <c r="I63" s="525"/>
      <c r="J63" s="341"/>
      <c r="K63" s="341"/>
      <c r="L63" s="147"/>
      <c r="M63" s="67"/>
      <c r="N63" s="67"/>
      <c r="O63" s="67"/>
      <c r="P63" s="67"/>
      <c r="Q63" s="67"/>
      <c r="R63" s="67"/>
      <c r="S63" s="67"/>
      <c r="T63" s="67"/>
      <c r="U63" s="67"/>
      <c r="V63" s="67"/>
    </row>
    <row r="64" spans="1:22" ht="15">
      <c r="A64" s="108"/>
      <c r="B64" s="188"/>
      <c r="C64" s="194"/>
      <c r="D64" s="517"/>
      <c r="E64" s="341"/>
      <c r="F64" s="341"/>
      <c r="G64" s="147"/>
      <c r="H64" s="147"/>
      <c r="I64" s="307"/>
      <c r="J64" s="341"/>
      <c r="K64" s="341"/>
      <c r="L64" s="147"/>
      <c r="M64" s="67"/>
      <c r="N64" s="67"/>
      <c r="O64" s="67"/>
      <c r="P64" s="67"/>
      <c r="Q64" s="67"/>
      <c r="R64" s="67"/>
      <c r="S64" s="67"/>
      <c r="T64" s="67"/>
      <c r="U64" s="67"/>
      <c r="V64" s="67"/>
    </row>
    <row r="65" spans="1:22" ht="15">
      <c r="A65" s="108"/>
      <c r="B65" s="176" t="s">
        <v>335</v>
      </c>
      <c r="C65" s="194"/>
      <c r="D65" s="517"/>
      <c r="E65" s="341"/>
      <c r="F65" s="341"/>
      <c r="G65" s="195"/>
      <c r="H65" s="152"/>
      <c r="I65" s="146"/>
      <c r="J65" s="341"/>
      <c r="K65" s="341"/>
      <c r="L65" s="147"/>
      <c r="M65" s="67"/>
      <c r="N65" s="67"/>
      <c r="O65" s="67"/>
      <c r="P65" s="67"/>
      <c r="Q65" s="67"/>
      <c r="R65" s="67"/>
      <c r="S65" s="67"/>
      <c r="T65" s="67"/>
      <c r="U65" s="67"/>
      <c r="V65" s="67"/>
    </row>
    <row r="66" spans="1:22" ht="15">
      <c r="A66" s="108"/>
      <c r="B66" s="188" t="s">
        <v>388</v>
      </c>
      <c r="C66" s="194"/>
      <c r="D66" s="517"/>
      <c r="E66" s="341"/>
      <c r="F66" s="341"/>
      <c r="G66" s="307"/>
      <c r="H66" s="146"/>
      <c r="I66" s="146"/>
      <c r="J66" s="341"/>
      <c r="K66" s="341"/>
      <c r="L66" s="307"/>
      <c r="M66" s="67"/>
      <c r="N66" s="67"/>
      <c r="O66" s="67"/>
      <c r="P66" s="67"/>
      <c r="Q66" s="67"/>
      <c r="R66" s="67"/>
      <c r="S66" s="67"/>
      <c r="T66" s="67"/>
      <c r="U66" s="67"/>
      <c r="V66" s="67"/>
    </row>
    <row r="67" spans="1:22" ht="15">
      <c r="A67" s="108"/>
      <c r="B67" s="202" t="s">
        <v>366</v>
      </c>
      <c r="C67" s="194"/>
      <c r="D67" s="567">
        <v>13.26</v>
      </c>
      <c r="E67" s="406">
        <v>13.21</v>
      </c>
      <c r="F67" s="406">
        <v>12.96</v>
      </c>
      <c r="G67" s="320">
        <v>12.5</v>
      </c>
      <c r="H67" s="146"/>
      <c r="I67" s="146">
        <v>4.72</v>
      </c>
      <c r="J67" s="319">
        <v>4.99</v>
      </c>
      <c r="K67" s="307">
        <v>4.51</v>
      </c>
      <c r="L67" s="320">
        <v>4.02</v>
      </c>
      <c r="M67" s="80"/>
      <c r="N67" s="67"/>
      <c r="O67" s="67"/>
      <c r="P67" s="67"/>
      <c r="Q67" s="67"/>
      <c r="R67" s="67"/>
      <c r="S67" s="67"/>
      <c r="T67" s="67"/>
      <c r="U67" s="67"/>
      <c r="V67" s="67"/>
    </row>
    <row r="68" spans="1:22" ht="15">
      <c r="A68" s="108"/>
      <c r="B68" s="202" t="s">
        <v>367</v>
      </c>
      <c r="C68" s="194"/>
      <c r="D68" s="146">
        <v>13.16</v>
      </c>
      <c r="E68" s="307">
        <v>13.12</v>
      </c>
      <c r="F68" s="307">
        <v>12.86</v>
      </c>
      <c r="G68" s="307">
        <v>12.41</v>
      </c>
      <c r="H68" s="146"/>
      <c r="I68" s="580">
        <v>4.74</v>
      </c>
      <c r="J68" s="319">
        <v>5</v>
      </c>
      <c r="K68" s="319">
        <v>4.53</v>
      </c>
      <c r="L68" s="320">
        <v>4.05</v>
      </c>
      <c r="M68" s="80"/>
      <c r="N68" s="67"/>
      <c r="O68" s="67"/>
      <c r="P68" s="67"/>
      <c r="Q68" s="67"/>
      <c r="R68" s="67"/>
      <c r="S68" s="67"/>
      <c r="T68" s="67"/>
      <c r="U68" s="67"/>
      <c r="V68" s="67"/>
    </row>
    <row r="69" spans="1:22" ht="15.75" thickBot="1">
      <c r="A69" s="108"/>
      <c r="B69" s="203"/>
      <c r="C69" s="204"/>
      <c r="D69" s="526"/>
      <c r="E69" s="321"/>
      <c r="F69" s="321"/>
      <c r="G69" s="322"/>
      <c r="H69" s="322"/>
      <c r="I69" s="149"/>
      <c r="J69" s="322"/>
      <c r="K69" s="322"/>
      <c r="L69" s="322"/>
      <c r="M69" s="80"/>
      <c r="N69" s="67"/>
      <c r="O69" s="67"/>
      <c r="P69" s="67"/>
      <c r="Q69" s="67"/>
      <c r="R69" s="67"/>
      <c r="S69" s="67"/>
      <c r="T69" s="67"/>
      <c r="U69" s="67"/>
      <c r="V69" s="67"/>
    </row>
    <row r="70" spans="1:22" ht="15" thickTop="1">
      <c r="A70" s="108"/>
      <c r="B70" s="67"/>
      <c r="C70" s="67"/>
      <c r="D70" s="527"/>
      <c r="E70" s="67"/>
      <c r="F70" s="67"/>
      <c r="G70" s="67"/>
      <c r="H70" s="67"/>
      <c r="I70" s="80"/>
      <c r="J70" s="67"/>
      <c r="K70" s="67"/>
      <c r="L70" s="67"/>
      <c r="M70" s="67"/>
      <c r="N70" s="67"/>
      <c r="O70" s="67"/>
      <c r="P70" s="67"/>
      <c r="Q70" s="67"/>
      <c r="R70" s="67"/>
      <c r="S70" s="67"/>
      <c r="T70" s="67"/>
      <c r="U70" s="67"/>
      <c r="V70" s="67"/>
    </row>
    <row r="71" spans="1:22" ht="14.25">
      <c r="A71" s="108"/>
      <c r="B71" s="67"/>
      <c r="C71" s="67"/>
      <c r="D71" s="527"/>
      <c r="E71" s="67"/>
      <c r="F71" s="67"/>
      <c r="G71" s="67"/>
      <c r="H71" s="67"/>
      <c r="I71" s="80"/>
      <c r="J71" s="67"/>
      <c r="K71" s="67"/>
      <c r="L71" s="67"/>
      <c r="M71" s="67"/>
      <c r="N71" s="67"/>
      <c r="O71" s="67"/>
      <c r="P71" s="67"/>
      <c r="Q71" s="67"/>
      <c r="R71" s="67"/>
      <c r="S71" s="67"/>
      <c r="T71" s="67"/>
      <c r="U71" s="67"/>
      <c r="V71" s="67"/>
    </row>
    <row r="72" spans="1:22" ht="14.25">
      <c r="A72" s="108"/>
      <c r="B72" s="67"/>
      <c r="C72" s="67"/>
      <c r="D72" s="527"/>
      <c r="E72" s="67"/>
      <c r="F72" s="67"/>
      <c r="G72" s="67"/>
      <c r="H72" s="67"/>
      <c r="I72" s="80"/>
      <c r="J72" s="67"/>
      <c r="K72" s="67"/>
      <c r="L72" s="67"/>
      <c r="M72" s="67"/>
      <c r="N72" s="67"/>
      <c r="O72" s="67"/>
      <c r="P72" s="67"/>
      <c r="Q72" s="67"/>
      <c r="R72" s="67"/>
      <c r="S72" s="67"/>
      <c r="T72" s="67"/>
      <c r="U72" s="67"/>
      <c r="V72" s="67"/>
    </row>
    <row r="73" spans="1:22" ht="14.25">
      <c r="A73" s="108"/>
      <c r="B73" s="67"/>
      <c r="C73" s="67"/>
      <c r="D73" s="527"/>
      <c r="E73" s="67"/>
      <c r="F73" s="67"/>
      <c r="G73" s="67"/>
      <c r="H73" s="67"/>
      <c r="I73" s="80"/>
      <c r="J73" s="67"/>
      <c r="K73" s="67"/>
      <c r="L73" s="67"/>
      <c r="M73" s="67"/>
      <c r="N73" s="67"/>
      <c r="O73" s="67"/>
      <c r="P73" s="67"/>
      <c r="Q73" s="67"/>
      <c r="R73" s="67"/>
      <c r="S73" s="67"/>
      <c r="T73" s="67"/>
      <c r="U73" s="67"/>
      <c r="V73" s="67"/>
    </row>
    <row r="74" spans="2:22" ht="14.25">
      <c r="B74" s="67"/>
      <c r="C74" s="67"/>
      <c r="D74" s="527"/>
      <c r="E74" s="67"/>
      <c r="F74" s="67"/>
      <c r="G74" s="67"/>
      <c r="H74" s="67"/>
      <c r="I74" s="366"/>
      <c r="J74" s="67"/>
      <c r="K74" s="67"/>
      <c r="L74" s="67"/>
      <c r="M74" s="67"/>
      <c r="N74" s="67"/>
      <c r="O74" s="67"/>
      <c r="P74" s="67"/>
      <c r="Q74" s="67"/>
      <c r="R74" s="67"/>
      <c r="S74" s="67"/>
      <c r="T74" s="67"/>
      <c r="U74" s="67"/>
      <c r="V74" s="67"/>
    </row>
    <row r="75" spans="2:22" ht="14.25">
      <c r="B75" s="67"/>
      <c r="C75" s="67"/>
      <c r="D75" s="527"/>
      <c r="E75" s="67"/>
      <c r="F75" s="67"/>
      <c r="G75" s="67"/>
      <c r="H75" s="67"/>
      <c r="I75" s="366"/>
      <c r="J75" s="67"/>
      <c r="K75" s="67"/>
      <c r="L75" s="67"/>
      <c r="M75" s="67"/>
      <c r="N75" s="67"/>
      <c r="O75" s="67"/>
      <c r="P75" s="67"/>
      <c r="Q75" s="67"/>
      <c r="R75" s="67"/>
      <c r="S75" s="67"/>
      <c r="T75" s="67"/>
      <c r="U75" s="67"/>
      <c r="V75" s="67"/>
    </row>
    <row r="76" spans="2:22" ht="14.25">
      <c r="B76" s="67"/>
      <c r="C76" s="67"/>
      <c r="D76" s="67"/>
      <c r="E76" s="67"/>
      <c r="F76" s="67"/>
      <c r="G76" s="67"/>
      <c r="H76" s="67"/>
      <c r="I76" s="67"/>
      <c r="J76" s="67"/>
      <c r="K76" s="67"/>
      <c r="L76" s="67"/>
      <c r="M76" s="67"/>
      <c r="N76" s="67"/>
      <c r="O76" s="67"/>
      <c r="P76" s="67"/>
      <c r="Q76" s="67"/>
      <c r="R76" s="67"/>
      <c r="S76" s="67"/>
      <c r="T76" s="67"/>
      <c r="U76" s="67"/>
      <c r="V76" s="67"/>
    </row>
    <row r="77" spans="2:22" ht="14.25">
      <c r="B77" s="67"/>
      <c r="C77" s="67"/>
      <c r="D77" s="67"/>
      <c r="E77" s="67"/>
      <c r="F77" s="67"/>
      <c r="G77" s="67"/>
      <c r="H77" s="67"/>
      <c r="I77" s="67"/>
      <c r="J77" s="67"/>
      <c r="K77" s="67"/>
      <c r="L77" s="67"/>
      <c r="M77" s="67"/>
      <c r="N77" s="67"/>
      <c r="O77" s="67"/>
      <c r="P77" s="67"/>
      <c r="Q77" s="67"/>
      <c r="R77" s="67"/>
      <c r="S77" s="67"/>
      <c r="T77" s="67"/>
      <c r="U77" s="67"/>
      <c r="V77" s="67"/>
    </row>
    <row r="78" spans="2:22" ht="14.25">
      <c r="B78" s="67"/>
      <c r="C78" s="67"/>
      <c r="D78" s="67"/>
      <c r="E78" s="67"/>
      <c r="F78" s="67"/>
      <c r="G78" s="67"/>
      <c r="H78" s="67"/>
      <c r="I78" s="67"/>
      <c r="J78" s="67"/>
      <c r="K78" s="67"/>
      <c r="L78" s="67"/>
      <c r="M78" s="67"/>
      <c r="N78" s="67"/>
      <c r="O78" s="67"/>
      <c r="P78" s="67"/>
      <c r="Q78" s="67"/>
      <c r="R78" s="67"/>
      <c r="S78" s="67"/>
      <c r="T78" s="67"/>
      <c r="U78" s="67"/>
      <c r="V78" s="67"/>
    </row>
    <row r="79" spans="2:22" ht="14.25">
      <c r="B79" s="67"/>
      <c r="C79" s="67"/>
      <c r="D79" s="67"/>
      <c r="E79" s="67"/>
      <c r="F79" s="67"/>
      <c r="G79" s="67"/>
      <c r="H79" s="67"/>
      <c r="I79" s="67"/>
      <c r="J79" s="67"/>
      <c r="K79" s="67"/>
      <c r="L79" s="67"/>
      <c r="M79" s="67"/>
      <c r="N79" s="67"/>
      <c r="O79" s="67"/>
      <c r="P79" s="67"/>
      <c r="Q79" s="67"/>
      <c r="R79" s="67"/>
      <c r="S79" s="67"/>
      <c r="T79" s="67"/>
      <c r="U79" s="67"/>
      <c r="V79" s="67"/>
    </row>
    <row r="80" spans="2:22" ht="14.25">
      <c r="B80" s="67"/>
      <c r="C80" s="67"/>
      <c r="D80" s="67"/>
      <c r="E80" s="67"/>
      <c r="F80" s="67"/>
      <c r="G80" s="67"/>
      <c r="H80" s="67"/>
      <c r="I80" s="67"/>
      <c r="J80" s="67"/>
      <c r="K80" s="67"/>
      <c r="L80" s="67"/>
      <c r="M80" s="67"/>
      <c r="N80" s="67"/>
      <c r="O80" s="67"/>
      <c r="P80" s="67"/>
      <c r="Q80" s="67"/>
      <c r="R80" s="67"/>
      <c r="S80" s="67"/>
      <c r="T80" s="67"/>
      <c r="U80" s="67"/>
      <c r="V80" s="67"/>
    </row>
    <row r="81" spans="2:22" ht="14.25">
      <c r="B81" s="67"/>
      <c r="C81" s="67"/>
      <c r="D81" s="67"/>
      <c r="E81" s="67"/>
      <c r="F81" s="67"/>
      <c r="G81" s="67"/>
      <c r="H81" s="67"/>
      <c r="I81" s="67"/>
      <c r="J81" s="67"/>
      <c r="K81" s="67"/>
      <c r="L81" s="67"/>
      <c r="M81" s="67"/>
      <c r="N81" s="67"/>
      <c r="O81" s="67"/>
      <c r="P81" s="67"/>
      <c r="Q81" s="67"/>
      <c r="R81" s="67"/>
      <c r="S81" s="67"/>
      <c r="T81" s="67"/>
      <c r="U81" s="67"/>
      <c r="V81" s="67"/>
    </row>
    <row r="82" spans="2:22" ht="14.25">
      <c r="B82" s="67"/>
      <c r="C82" s="67"/>
      <c r="D82" s="67"/>
      <c r="E82" s="67"/>
      <c r="F82" s="67"/>
      <c r="G82" s="67"/>
      <c r="H82" s="67"/>
      <c r="I82" s="67"/>
      <c r="J82" s="67"/>
      <c r="K82" s="67"/>
      <c r="L82" s="67"/>
      <c r="M82" s="67"/>
      <c r="N82" s="67"/>
      <c r="O82" s="67"/>
      <c r="P82" s="67"/>
      <c r="Q82" s="67"/>
      <c r="R82" s="67"/>
      <c r="S82" s="67"/>
      <c r="T82" s="67"/>
      <c r="U82" s="67"/>
      <c r="V82" s="67"/>
    </row>
    <row r="83" spans="2:22" ht="14.25">
      <c r="B83" s="67"/>
      <c r="C83" s="67"/>
      <c r="D83" s="67"/>
      <c r="E83" s="67"/>
      <c r="F83" s="67"/>
      <c r="G83" s="67"/>
      <c r="H83" s="67"/>
      <c r="I83" s="67"/>
      <c r="J83" s="67"/>
      <c r="K83" s="67"/>
      <c r="L83" s="67"/>
      <c r="M83" s="67"/>
      <c r="N83" s="67"/>
      <c r="O83" s="67"/>
      <c r="P83" s="67"/>
      <c r="Q83" s="67"/>
      <c r="R83" s="67"/>
      <c r="S83" s="67"/>
      <c r="T83" s="67"/>
      <c r="U83" s="67"/>
      <c r="V83" s="67"/>
    </row>
    <row r="84" spans="2:22" ht="14.25">
      <c r="B84" s="67"/>
      <c r="C84" s="67"/>
      <c r="D84" s="67"/>
      <c r="E84" s="67"/>
      <c r="F84" s="67"/>
      <c r="G84" s="67"/>
      <c r="H84" s="67"/>
      <c r="I84" s="67"/>
      <c r="J84" s="67"/>
      <c r="K84" s="67"/>
      <c r="L84" s="67"/>
      <c r="M84" s="67"/>
      <c r="N84" s="67"/>
      <c r="O84" s="67"/>
      <c r="P84" s="67"/>
      <c r="Q84" s="67"/>
      <c r="R84" s="67"/>
      <c r="S84" s="67"/>
      <c r="T84" s="67"/>
      <c r="U84" s="67"/>
      <c r="V84" s="67"/>
    </row>
    <row r="85" spans="2:22" ht="14.25">
      <c r="B85" s="67"/>
      <c r="C85" s="67"/>
      <c r="D85" s="67"/>
      <c r="E85" s="67"/>
      <c r="F85" s="67"/>
      <c r="G85" s="67"/>
      <c r="H85" s="67"/>
      <c r="I85" s="67"/>
      <c r="J85" s="67"/>
      <c r="K85" s="67"/>
      <c r="L85" s="67"/>
      <c r="M85" s="67"/>
      <c r="N85" s="67"/>
      <c r="O85" s="67"/>
      <c r="P85" s="67"/>
      <c r="Q85" s="67"/>
      <c r="R85" s="67"/>
      <c r="S85" s="67"/>
      <c r="T85" s="67"/>
      <c r="U85" s="67"/>
      <c r="V85" s="67"/>
    </row>
    <row r="86" spans="2:22" ht="14.25">
      <c r="B86" s="67"/>
      <c r="C86" s="67"/>
      <c r="D86" s="67"/>
      <c r="E86" s="67"/>
      <c r="F86" s="67"/>
      <c r="G86" s="67"/>
      <c r="H86" s="67"/>
      <c r="I86" s="67"/>
      <c r="J86" s="67"/>
      <c r="K86" s="67"/>
      <c r="L86" s="67"/>
      <c r="M86" s="67"/>
      <c r="N86" s="67"/>
      <c r="O86" s="67"/>
      <c r="P86" s="67"/>
      <c r="Q86" s="67"/>
      <c r="R86" s="67"/>
      <c r="S86" s="67"/>
      <c r="T86" s="67"/>
      <c r="U86" s="67"/>
      <c r="V86" s="67"/>
    </row>
    <row r="87" spans="2:22" ht="14.25">
      <c r="B87" s="67"/>
      <c r="C87" s="67"/>
      <c r="D87" s="67"/>
      <c r="E87" s="67"/>
      <c r="F87" s="67"/>
      <c r="G87" s="67"/>
      <c r="H87" s="67"/>
      <c r="I87" s="67"/>
      <c r="J87" s="67"/>
      <c r="K87" s="67"/>
      <c r="L87" s="67"/>
      <c r="M87" s="67"/>
      <c r="N87" s="67"/>
      <c r="O87" s="67"/>
      <c r="P87" s="67"/>
      <c r="Q87" s="67"/>
      <c r="R87" s="67"/>
      <c r="S87" s="67"/>
      <c r="T87" s="67"/>
      <c r="U87" s="67"/>
      <c r="V87" s="67"/>
    </row>
    <row r="88" spans="2:22" ht="14.25">
      <c r="B88" s="67"/>
      <c r="C88" s="67"/>
      <c r="D88" s="67"/>
      <c r="E88" s="67"/>
      <c r="F88" s="67"/>
      <c r="G88" s="67"/>
      <c r="H88" s="67"/>
      <c r="I88" s="67"/>
      <c r="J88" s="67"/>
      <c r="K88" s="67"/>
      <c r="L88" s="67"/>
      <c r="M88" s="67"/>
      <c r="N88" s="67"/>
      <c r="O88" s="67"/>
      <c r="P88" s="67"/>
      <c r="Q88" s="67"/>
      <c r="R88" s="67"/>
      <c r="S88" s="67"/>
      <c r="T88" s="67"/>
      <c r="U88" s="67"/>
      <c r="V88" s="67"/>
    </row>
    <row r="89" spans="2:22" ht="14.25">
      <c r="B89" s="67"/>
      <c r="C89" s="67"/>
      <c r="D89" s="67"/>
      <c r="E89" s="67"/>
      <c r="F89" s="67"/>
      <c r="G89" s="67"/>
      <c r="H89" s="67"/>
      <c r="I89" s="67"/>
      <c r="J89" s="67"/>
      <c r="K89" s="67"/>
      <c r="L89" s="67"/>
      <c r="M89" s="67"/>
      <c r="N89" s="67"/>
      <c r="O89" s="67"/>
      <c r="P89" s="67"/>
      <c r="Q89" s="67"/>
      <c r="R89" s="67"/>
      <c r="S89" s="67"/>
      <c r="T89" s="67"/>
      <c r="U89" s="67"/>
      <c r="V89" s="67"/>
    </row>
    <row r="90" spans="2:22" ht="14.25">
      <c r="B90" s="67"/>
      <c r="C90" s="67"/>
      <c r="D90" s="67"/>
      <c r="E90" s="67"/>
      <c r="F90" s="67"/>
      <c r="G90" s="67"/>
      <c r="H90" s="67"/>
      <c r="I90" s="67"/>
      <c r="J90" s="67"/>
      <c r="K90" s="67"/>
      <c r="L90" s="67"/>
      <c r="M90" s="67"/>
      <c r="N90" s="67"/>
      <c r="O90" s="67"/>
      <c r="P90" s="67"/>
      <c r="Q90" s="67"/>
      <c r="R90" s="67"/>
      <c r="S90" s="67"/>
      <c r="T90" s="67"/>
      <c r="U90" s="67"/>
      <c r="V90" s="67"/>
    </row>
    <row r="91" spans="2:22" ht="14.25">
      <c r="B91" s="67"/>
      <c r="C91" s="67"/>
      <c r="D91" s="67"/>
      <c r="E91" s="67"/>
      <c r="F91" s="67"/>
      <c r="G91" s="67"/>
      <c r="H91" s="67"/>
      <c r="I91" s="67"/>
      <c r="J91" s="67"/>
      <c r="K91" s="67"/>
      <c r="L91" s="67"/>
      <c r="M91" s="67"/>
      <c r="N91" s="67"/>
      <c r="O91" s="67"/>
      <c r="P91" s="67"/>
      <c r="Q91" s="67"/>
      <c r="R91" s="67"/>
      <c r="S91" s="67"/>
      <c r="T91" s="67"/>
      <c r="U91" s="67"/>
      <c r="V91" s="67"/>
    </row>
    <row r="92" spans="2:22" ht="14.25">
      <c r="B92" s="67"/>
      <c r="C92" s="67"/>
      <c r="D92" s="67"/>
      <c r="E92" s="67"/>
      <c r="F92" s="67"/>
      <c r="G92" s="67"/>
      <c r="H92" s="67"/>
      <c r="I92" s="67"/>
      <c r="J92" s="67"/>
      <c r="K92" s="67"/>
      <c r="L92" s="67"/>
      <c r="M92" s="67"/>
      <c r="N92" s="67"/>
      <c r="O92" s="67"/>
      <c r="P92" s="67"/>
      <c r="Q92" s="67"/>
      <c r="R92" s="67"/>
      <c r="S92" s="67"/>
      <c r="T92" s="67"/>
      <c r="U92" s="67"/>
      <c r="V92" s="67"/>
    </row>
    <row r="93" spans="2:22" ht="14.25">
      <c r="B93" s="67"/>
      <c r="C93" s="67"/>
      <c r="D93" s="67"/>
      <c r="E93" s="67"/>
      <c r="F93" s="67"/>
      <c r="G93" s="67"/>
      <c r="H93" s="67"/>
      <c r="I93" s="67"/>
      <c r="J93" s="67"/>
      <c r="K93" s="67"/>
      <c r="L93" s="67"/>
      <c r="M93" s="67"/>
      <c r="N93" s="67"/>
      <c r="O93" s="67"/>
      <c r="P93" s="67"/>
      <c r="Q93" s="67"/>
      <c r="R93" s="67"/>
      <c r="S93" s="67"/>
      <c r="T93" s="67"/>
      <c r="U93" s="67"/>
      <c r="V93" s="67"/>
    </row>
    <row r="94" spans="2:22" ht="14.25">
      <c r="B94" s="67"/>
      <c r="C94" s="67"/>
      <c r="D94" s="67"/>
      <c r="E94" s="67"/>
      <c r="F94" s="67"/>
      <c r="G94" s="67"/>
      <c r="H94" s="67"/>
      <c r="I94" s="67"/>
      <c r="J94" s="67"/>
      <c r="K94" s="67"/>
      <c r="L94" s="67"/>
      <c r="M94" s="67"/>
      <c r="N94" s="67"/>
      <c r="O94" s="67"/>
      <c r="P94" s="67"/>
      <c r="Q94" s="67"/>
      <c r="R94" s="67"/>
      <c r="S94" s="67"/>
      <c r="T94" s="67"/>
      <c r="U94" s="67"/>
      <c r="V94" s="67"/>
    </row>
    <row r="95" spans="2:22" ht="14.25">
      <c r="B95" s="67"/>
      <c r="C95" s="67"/>
      <c r="D95" s="67"/>
      <c r="E95" s="67"/>
      <c r="F95" s="67"/>
      <c r="G95" s="67"/>
      <c r="H95" s="67"/>
      <c r="I95" s="67"/>
      <c r="J95" s="67"/>
      <c r="K95" s="67"/>
      <c r="L95" s="67"/>
      <c r="M95" s="67"/>
      <c r="N95" s="67"/>
      <c r="O95" s="67"/>
      <c r="P95" s="67"/>
      <c r="Q95" s="67"/>
      <c r="R95" s="67"/>
      <c r="S95" s="67"/>
      <c r="T95" s="67"/>
      <c r="U95" s="67"/>
      <c r="V95" s="67"/>
    </row>
    <row r="96" spans="2:22" ht="14.25">
      <c r="B96" s="67"/>
      <c r="C96" s="67"/>
      <c r="D96" s="67"/>
      <c r="E96" s="67"/>
      <c r="F96" s="67"/>
      <c r="G96" s="67"/>
      <c r="H96" s="67"/>
      <c r="I96" s="67"/>
      <c r="J96" s="67"/>
      <c r="K96" s="67"/>
      <c r="L96" s="67"/>
      <c r="M96" s="67"/>
      <c r="N96" s="67"/>
      <c r="O96" s="67"/>
      <c r="P96" s="67"/>
      <c r="Q96" s="67"/>
      <c r="R96" s="67"/>
      <c r="S96" s="67"/>
      <c r="T96" s="67"/>
      <c r="U96" s="67"/>
      <c r="V96" s="67"/>
    </row>
    <row r="97" spans="2:22" ht="14.25">
      <c r="B97" s="67"/>
      <c r="C97" s="67"/>
      <c r="D97" s="67"/>
      <c r="E97" s="67"/>
      <c r="F97" s="67"/>
      <c r="G97" s="67"/>
      <c r="H97" s="67"/>
      <c r="I97" s="67"/>
      <c r="J97" s="67"/>
      <c r="K97" s="67"/>
      <c r="L97" s="67"/>
      <c r="M97" s="67"/>
      <c r="N97" s="67"/>
      <c r="O97" s="67"/>
      <c r="P97" s="67"/>
      <c r="Q97" s="67"/>
      <c r="R97" s="67"/>
      <c r="S97" s="67"/>
      <c r="T97" s="67"/>
      <c r="U97" s="67"/>
      <c r="V97" s="67"/>
    </row>
    <row r="98" spans="2:22" ht="14.25">
      <c r="B98" s="67"/>
      <c r="C98" s="67"/>
      <c r="D98" s="67"/>
      <c r="E98" s="67"/>
      <c r="F98" s="67"/>
      <c r="G98" s="67"/>
      <c r="H98" s="67"/>
      <c r="I98" s="67"/>
      <c r="J98" s="67"/>
      <c r="K98" s="67"/>
      <c r="L98" s="67"/>
      <c r="M98" s="67"/>
      <c r="N98" s="67"/>
      <c r="O98" s="67"/>
      <c r="P98" s="67"/>
      <c r="Q98" s="67"/>
      <c r="R98" s="67"/>
      <c r="S98" s="67"/>
      <c r="T98" s="67"/>
      <c r="U98" s="67"/>
      <c r="V98" s="67"/>
    </row>
    <row r="99" spans="2:22" ht="14.25">
      <c r="B99" s="67"/>
      <c r="C99" s="67"/>
      <c r="D99" s="67"/>
      <c r="E99" s="67"/>
      <c r="F99" s="67"/>
      <c r="G99" s="67"/>
      <c r="H99" s="67"/>
      <c r="I99" s="67"/>
      <c r="J99" s="67"/>
      <c r="K99" s="67"/>
      <c r="L99" s="67"/>
      <c r="M99" s="67"/>
      <c r="N99" s="67"/>
      <c r="O99" s="67"/>
      <c r="P99" s="67"/>
      <c r="Q99" s="67"/>
      <c r="R99" s="67"/>
      <c r="S99" s="67"/>
      <c r="T99" s="67"/>
      <c r="U99" s="67"/>
      <c r="V99" s="67"/>
    </row>
    <row r="100" spans="2:22" ht="14.25">
      <c r="B100" s="67"/>
      <c r="C100" s="67"/>
      <c r="D100" s="67"/>
      <c r="E100" s="67"/>
      <c r="F100" s="67"/>
      <c r="G100" s="67"/>
      <c r="H100" s="67"/>
      <c r="I100" s="67"/>
      <c r="J100" s="67"/>
      <c r="K100" s="67"/>
      <c r="L100" s="67"/>
      <c r="M100" s="67"/>
      <c r="N100" s="67"/>
      <c r="O100" s="67"/>
      <c r="P100" s="67"/>
      <c r="Q100" s="67"/>
      <c r="R100" s="67"/>
      <c r="S100" s="67"/>
      <c r="T100" s="67"/>
      <c r="U100" s="67"/>
      <c r="V100" s="67"/>
    </row>
    <row r="101" spans="2:22" ht="14.25">
      <c r="B101" s="67"/>
      <c r="C101" s="67"/>
      <c r="D101" s="67"/>
      <c r="E101" s="67"/>
      <c r="F101" s="67"/>
      <c r="G101" s="67"/>
      <c r="H101" s="67"/>
      <c r="I101" s="67"/>
      <c r="J101" s="67"/>
      <c r="K101" s="67"/>
      <c r="L101" s="67"/>
      <c r="M101" s="67"/>
      <c r="N101" s="67"/>
      <c r="O101" s="67"/>
      <c r="P101" s="67"/>
      <c r="Q101" s="67"/>
      <c r="R101" s="67"/>
      <c r="S101" s="67"/>
      <c r="T101" s="67"/>
      <c r="U101" s="67"/>
      <c r="V101" s="67"/>
    </row>
    <row r="102" spans="2:22" ht="14.25">
      <c r="B102" s="67"/>
      <c r="C102" s="67"/>
      <c r="D102" s="67"/>
      <c r="E102" s="67"/>
      <c r="F102" s="67"/>
      <c r="G102" s="67"/>
      <c r="H102" s="67"/>
      <c r="I102" s="67"/>
      <c r="J102" s="67"/>
      <c r="K102" s="67"/>
      <c r="L102" s="67"/>
      <c r="M102" s="67"/>
      <c r="N102" s="67"/>
      <c r="O102" s="67"/>
      <c r="P102" s="67"/>
      <c r="Q102" s="67"/>
      <c r="R102" s="67"/>
      <c r="S102" s="67"/>
      <c r="T102" s="67"/>
      <c r="U102" s="67"/>
      <c r="V102" s="67"/>
    </row>
    <row r="103" spans="2:22" ht="14.25">
      <c r="B103" s="67"/>
      <c r="C103" s="67"/>
      <c r="D103" s="67"/>
      <c r="E103" s="67"/>
      <c r="F103" s="67"/>
      <c r="G103" s="67"/>
      <c r="H103" s="67"/>
      <c r="I103" s="67"/>
      <c r="J103" s="67"/>
      <c r="K103" s="67"/>
      <c r="L103" s="67"/>
      <c r="M103" s="67"/>
      <c r="N103" s="67"/>
      <c r="O103" s="67"/>
      <c r="P103" s="67"/>
      <c r="Q103" s="67"/>
      <c r="R103" s="67"/>
      <c r="S103" s="67"/>
      <c r="T103" s="67"/>
      <c r="U103" s="67"/>
      <c r="V103" s="67"/>
    </row>
    <row r="104" spans="2:22" ht="14.25">
      <c r="B104" s="67"/>
      <c r="C104" s="67"/>
      <c r="D104" s="67"/>
      <c r="E104" s="67"/>
      <c r="F104" s="67"/>
      <c r="G104" s="67"/>
      <c r="H104" s="67"/>
      <c r="I104" s="67"/>
      <c r="J104" s="67"/>
      <c r="K104" s="67"/>
      <c r="L104" s="67"/>
      <c r="M104" s="67"/>
      <c r="N104" s="67"/>
      <c r="O104" s="67"/>
      <c r="P104" s="67"/>
      <c r="Q104" s="67"/>
      <c r="R104" s="67"/>
      <c r="S104" s="67"/>
      <c r="T104" s="67"/>
      <c r="U104" s="67"/>
      <c r="V104" s="67"/>
    </row>
    <row r="105" spans="2:22" ht="14.25">
      <c r="B105" s="67"/>
      <c r="C105" s="67"/>
      <c r="D105" s="67"/>
      <c r="E105" s="67"/>
      <c r="F105" s="67"/>
      <c r="G105" s="67"/>
      <c r="H105" s="67"/>
      <c r="I105" s="67"/>
      <c r="J105" s="67"/>
      <c r="K105" s="67"/>
      <c r="L105" s="67"/>
      <c r="M105" s="67"/>
      <c r="N105" s="67"/>
      <c r="O105" s="67"/>
      <c r="P105" s="67"/>
      <c r="Q105" s="67"/>
      <c r="R105" s="67"/>
      <c r="S105" s="67"/>
      <c r="T105" s="67"/>
      <c r="U105" s="67"/>
      <c r="V105" s="67"/>
    </row>
    <row r="106" spans="2:22" ht="14.25">
      <c r="B106" s="67"/>
      <c r="C106" s="67"/>
      <c r="D106" s="67"/>
      <c r="E106" s="67"/>
      <c r="F106" s="67"/>
      <c r="G106" s="67"/>
      <c r="H106" s="67"/>
      <c r="I106" s="67"/>
      <c r="J106" s="67"/>
      <c r="K106" s="67"/>
      <c r="L106" s="67"/>
      <c r="M106" s="67"/>
      <c r="N106" s="67"/>
      <c r="O106" s="67"/>
      <c r="P106" s="67"/>
      <c r="Q106" s="67"/>
      <c r="R106" s="67"/>
      <c r="S106" s="67"/>
      <c r="T106" s="67"/>
      <c r="U106" s="67"/>
      <c r="V106" s="67"/>
    </row>
    <row r="107" spans="2:22" ht="14.25">
      <c r="B107" s="67"/>
      <c r="C107" s="67"/>
      <c r="D107" s="67"/>
      <c r="E107" s="67"/>
      <c r="F107" s="67"/>
      <c r="G107" s="67"/>
      <c r="H107" s="67"/>
      <c r="I107" s="67"/>
      <c r="J107" s="67"/>
      <c r="K107" s="67"/>
      <c r="L107" s="67"/>
      <c r="M107" s="67"/>
      <c r="N107" s="67"/>
      <c r="O107" s="67"/>
      <c r="P107" s="67"/>
      <c r="Q107" s="67"/>
      <c r="R107" s="67"/>
      <c r="S107" s="67"/>
      <c r="T107" s="67"/>
      <c r="U107" s="67"/>
      <c r="V107" s="67"/>
    </row>
    <row r="108" spans="2:22" ht="14.25">
      <c r="B108" s="67"/>
      <c r="C108" s="67"/>
      <c r="D108" s="67"/>
      <c r="E108" s="67"/>
      <c r="F108" s="67"/>
      <c r="G108" s="67"/>
      <c r="H108" s="67"/>
      <c r="I108" s="67"/>
      <c r="J108" s="67"/>
      <c r="K108" s="67"/>
      <c r="L108" s="67"/>
      <c r="M108" s="67"/>
      <c r="N108" s="67"/>
      <c r="O108" s="67"/>
      <c r="P108" s="67"/>
      <c r="Q108" s="67"/>
      <c r="R108" s="67"/>
      <c r="S108" s="67"/>
      <c r="T108" s="67"/>
      <c r="U108" s="67"/>
      <c r="V108" s="67"/>
    </row>
    <row r="109" spans="2:22" ht="14.25">
      <c r="B109" s="67"/>
      <c r="C109" s="67"/>
      <c r="D109" s="67"/>
      <c r="E109" s="67"/>
      <c r="F109" s="67"/>
      <c r="G109" s="67"/>
      <c r="H109" s="67"/>
      <c r="I109" s="67"/>
      <c r="J109" s="67"/>
      <c r="K109" s="67"/>
      <c r="L109" s="67"/>
      <c r="M109" s="67"/>
      <c r="N109" s="67"/>
      <c r="O109" s="67"/>
      <c r="P109" s="67"/>
      <c r="Q109" s="67"/>
      <c r="R109" s="67"/>
      <c r="S109" s="67"/>
      <c r="T109" s="67"/>
      <c r="U109" s="67"/>
      <c r="V109" s="67"/>
    </row>
    <row r="110" spans="2:22" ht="14.25">
      <c r="B110" s="67"/>
      <c r="C110" s="67"/>
      <c r="D110" s="67"/>
      <c r="E110" s="67"/>
      <c r="F110" s="67"/>
      <c r="G110" s="67"/>
      <c r="H110" s="67"/>
      <c r="I110" s="67"/>
      <c r="J110" s="67"/>
      <c r="K110" s="67"/>
      <c r="L110" s="67"/>
      <c r="M110" s="67"/>
      <c r="N110" s="67"/>
      <c r="O110" s="67"/>
      <c r="P110" s="67"/>
      <c r="Q110" s="67"/>
      <c r="R110" s="67"/>
      <c r="S110" s="67"/>
      <c r="T110" s="67"/>
      <c r="U110" s="67"/>
      <c r="V110" s="67"/>
    </row>
    <row r="111" spans="13:33" ht="14.25">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3" ht="14.25">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3" ht="14.25">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3" ht="14.25">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3" ht="14.25">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3" ht="14.25">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3" ht="14.25">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3" ht="14.25">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3" ht="14.25">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3" ht="14.25">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3" ht="14.25">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3" ht="14.25">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3" ht="14.25">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3" ht="14.25">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3" ht="14.25">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3" ht="14.25">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3" ht="14.25">
      <c r="M127" s="67"/>
      <c r="N127" s="67"/>
      <c r="O127" s="67"/>
      <c r="P127" s="67"/>
      <c r="Q127" s="67"/>
      <c r="R127" s="67"/>
      <c r="S127" s="67"/>
      <c r="T127" s="67"/>
      <c r="U127" s="67"/>
      <c r="V127" s="67"/>
      <c r="W127" s="67"/>
      <c r="X127" s="67"/>
      <c r="Y127" s="67"/>
      <c r="Z127" s="67"/>
      <c r="AA127" s="67"/>
      <c r="AB127" s="67"/>
      <c r="AC127" s="67"/>
      <c r="AD127" s="67"/>
      <c r="AE127" s="67"/>
      <c r="AF127" s="67"/>
      <c r="AG127" s="67"/>
    </row>
    <row r="128" spans="13:33" ht="14.25">
      <c r="M128" s="67"/>
      <c r="N128" s="67"/>
      <c r="O128" s="67"/>
      <c r="P128" s="67"/>
      <c r="Q128" s="67"/>
      <c r="R128" s="67"/>
      <c r="S128" s="67"/>
      <c r="T128" s="67"/>
      <c r="U128" s="67"/>
      <c r="V128" s="67"/>
      <c r="W128" s="67"/>
      <c r="X128" s="67"/>
      <c r="Y128" s="67"/>
      <c r="Z128" s="67"/>
      <c r="AA128" s="67"/>
      <c r="AB128" s="67"/>
      <c r="AC128" s="67"/>
      <c r="AD128" s="67"/>
      <c r="AE128" s="67"/>
      <c r="AF128" s="67"/>
      <c r="AG128" s="67"/>
    </row>
    <row r="129" spans="13:33" ht="14.25">
      <c r="M129" s="67"/>
      <c r="N129" s="67"/>
      <c r="O129" s="67"/>
      <c r="P129" s="67"/>
      <c r="Q129" s="67"/>
      <c r="R129" s="67"/>
      <c r="S129" s="67"/>
      <c r="T129" s="67"/>
      <c r="U129" s="67"/>
      <c r="V129" s="67"/>
      <c r="W129" s="67"/>
      <c r="X129" s="67"/>
      <c r="Y129" s="67"/>
      <c r="Z129" s="67"/>
      <c r="AA129" s="67"/>
      <c r="AB129" s="67"/>
      <c r="AC129" s="67"/>
      <c r="AD129" s="67"/>
      <c r="AE129" s="67"/>
      <c r="AF129" s="67"/>
      <c r="AG129" s="67"/>
    </row>
    <row r="130" spans="13:33" ht="14.25">
      <c r="M130" s="67"/>
      <c r="N130" s="67"/>
      <c r="O130" s="67"/>
      <c r="P130" s="67"/>
      <c r="Q130" s="67"/>
      <c r="R130" s="67"/>
      <c r="S130" s="67"/>
      <c r="T130" s="67"/>
      <c r="U130" s="67"/>
      <c r="V130" s="67"/>
      <c r="W130" s="67"/>
      <c r="X130" s="67"/>
      <c r="Y130" s="67"/>
      <c r="Z130" s="67"/>
      <c r="AA130" s="67"/>
      <c r="AB130" s="67"/>
      <c r="AC130" s="67"/>
      <c r="AD130" s="67"/>
      <c r="AE130" s="67"/>
      <c r="AF130" s="67"/>
      <c r="AG130" s="67"/>
    </row>
    <row r="131" spans="13:33" ht="14.25">
      <c r="M131" s="67"/>
      <c r="N131" s="67"/>
      <c r="O131" s="67"/>
      <c r="P131" s="67"/>
      <c r="Q131" s="67"/>
      <c r="R131" s="67"/>
      <c r="S131" s="67"/>
      <c r="T131" s="67"/>
      <c r="U131" s="67"/>
      <c r="V131" s="67"/>
      <c r="W131" s="67"/>
      <c r="X131" s="67"/>
      <c r="Y131" s="67"/>
      <c r="Z131" s="67"/>
      <c r="AA131" s="67"/>
      <c r="AB131" s="67"/>
      <c r="AC131" s="67"/>
      <c r="AD131" s="67"/>
      <c r="AE131" s="67"/>
      <c r="AF131" s="67"/>
      <c r="AG131" s="67"/>
    </row>
    <row r="132" spans="13:33" ht="14.25">
      <c r="M132" s="67"/>
      <c r="N132" s="67"/>
      <c r="O132" s="67"/>
      <c r="P132" s="67"/>
      <c r="Q132" s="67"/>
      <c r="R132" s="67"/>
      <c r="S132" s="67"/>
      <c r="T132" s="67"/>
      <c r="U132" s="67"/>
      <c r="V132" s="67"/>
      <c r="W132" s="67"/>
      <c r="X132" s="67"/>
      <c r="Y132" s="67"/>
      <c r="Z132" s="67"/>
      <c r="AA132" s="67"/>
      <c r="AB132" s="67"/>
      <c r="AC132" s="67"/>
      <c r="AD132" s="67"/>
      <c r="AE132" s="67"/>
      <c r="AF132" s="67"/>
      <c r="AG132" s="67"/>
    </row>
    <row r="133" spans="13:33" ht="14.25">
      <c r="M133" s="67"/>
      <c r="N133" s="67"/>
      <c r="O133" s="67"/>
      <c r="P133" s="67"/>
      <c r="Q133" s="67"/>
      <c r="R133" s="67"/>
      <c r="S133" s="67"/>
      <c r="T133" s="67"/>
      <c r="U133" s="67"/>
      <c r="V133" s="67"/>
      <c r="W133" s="67"/>
      <c r="X133" s="67"/>
      <c r="Y133" s="67"/>
      <c r="Z133" s="67"/>
      <c r="AA133" s="67"/>
      <c r="AB133" s="67"/>
      <c r="AC133" s="67"/>
      <c r="AD133" s="67"/>
      <c r="AE133" s="67"/>
      <c r="AF133" s="67"/>
      <c r="AG133" s="67"/>
    </row>
    <row r="134" spans="13:33" ht="14.25">
      <c r="M134" s="67"/>
      <c r="N134" s="67"/>
      <c r="O134" s="67"/>
      <c r="P134" s="67"/>
      <c r="Q134" s="67"/>
      <c r="R134" s="67"/>
      <c r="S134" s="67"/>
      <c r="T134" s="67"/>
      <c r="U134" s="67"/>
      <c r="V134" s="67"/>
      <c r="W134" s="67"/>
      <c r="X134" s="67"/>
      <c r="Y134" s="67"/>
      <c r="Z134" s="67"/>
      <c r="AA134" s="67"/>
      <c r="AB134" s="67"/>
      <c r="AC134" s="67"/>
      <c r="AD134" s="67"/>
      <c r="AE134" s="67"/>
      <c r="AF134" s="67"/>
      <c r="AG134" s="67"/>
    </row>
    <row r="135" spans="13:33" ht="14.25">
      <c r="M135" s="67"/>
      <c r="N135" s="67"/>
      <c r="O135" s="67"/>
      <c r="P135" s="67"/>
      <c r="Q135" s="67"/>
      <c r="R135" s="67"/>
      <c r="S135" s="67"/>
      <c r="T135" s="67"/>
      <c r="U135" s="67"/>
      <c r="V135" s="67"/>
      <c r="W135" s="67"/>
      <c r="X135" s="67"/>
      <c r="Y135" s="67"/>
      <c r="Z135" s="67"/>
      <c r="AA135" s="67"/>
      <c r="AB135" s="67"/>
      <c r="AC135" s="67"/>
      <c r="AD135" s="67"/>
      <c r="AE135" s="67"/>
      <c r="AF135" s="67"/>
      <c r="AG135" s="67"/>
    </row>
    <row r="136" spans="13:33" ht="14.25">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3" ht="14.25">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3" ht="14.25">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3" ht="14.25">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3" ht="14.25">
      <c r="M140" s="67"/>
      <c r="N140" s="67"/>
      <c r="O140" s="67"/>
      <c r="P140" s="67"/>
      <c r="Q140" s="67"/>
      <c r="R140" s="67"/>
      <c r="S140" s="67"/>
      <c r="T140" s="67"/>
      <c r="U140" s="67"/>
      <c r="V140" s="67"/>
      <c r="W140" s="67"/>
      <c r="X140" s="67"/>
      <c r="Y140" s="67"/>
      <c r="Z140" s="67"/>
      <c r="AA140" s="67"/>
      <c r="AB140" s="67"/>
      <c r="AC140" s="67"/>
      <c r="AD140" s="67"/>
      <c r="AE140" s="67"/>
      <c r="AF140" s="67"/>
      <c r="AG140" s="67"/>
    </row>
    <row r="141" spans="13:33" ht="14.25">
      <c r="M141" s="67"/>
      <c r="N141" s="67"/>
      <c r="O141" s="67"/>
      <c r="P141" s="67"/>
      <c r="Q141" s="67"/>
      <c r="R141" s="67"/>
      <c r="S141" s="67"/>
      <c r="T141" s="67"/>
      <c r="U141" s="67"/>
      <c r="V141" s="67"/>
      <c r="W141" s="67"/>
      <c r="X141" s="67"/>
      <c r="Y141" s="67"/>
      <c r="Z141" s="67"/>
      <c r="AA141" s="67"/>
      <c r="AB141" s="67"/>
      <c r="AC141" s="67"/>
      <c r="AD141" s="67"/>
      <c r="AE141" s="67"/>
      <c r="AF141" s="67"/>
      <c r="AG141" s="67"/>
    </row>
    <row r="142" spans="13:33" ht="14.25">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3" ht="14.25">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3" ht="14.25">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3" ht="14.25">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3" ht="14.25">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3" ht="14.25">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3" ht="14.25">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3" ht="14.25">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3" ht="14.25">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3" ht="14.25">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3" ht="14.25">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3" ht="14.25">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3" ht="14.25">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3" ht="14.25">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3" ht="14.25">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3" ht="14.25">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3" ht="14.25">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3" ht="14.25">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3" ht="14.25">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3" ht="14.25">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3" ht="14.25">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3" ht="14.25">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3" ht="14.25">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3" ht="14.25">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3" ht="14.25">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3" ht="14.25">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3" ht="14.25">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3" ht="14.25">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3" ht="14.25">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3" ht="14.25">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3" ht="14.25">
      <c r="M172" s="67"/>
      <c r="N172" s="67"/>
      <c r="O172" s="67"/>
      <c r="P172" s="67"/>
      <c r="Q172" s="67"/>
      <c r="R172" s="67"/>
      <c r="S172" s="67"/>
      <c r="T172" s="67"/>
      <c r="U172" s="67"/>
      <c r="V172" s="67"/>
      <c r="W172" s="67"/>
      <c r="X172" s="67"/>
      <c r="Y172" s="67"/>
      <c r="Z172" s="67"/>
      <c r="AA172" s="67"/>
      <c r="AB172" s="67"/>
      <c r="AC172" s="67"/>
      <c r="AD172" s="67"/>
      <c r="AE172" s="67"/>
      <c r="AF172" s="67"/>
      <c r="AG172" s="67"/>
    </row>
    <row r="173" spans="13:33" ht="14.25">
      <c r="M173" s="67"/>
      <c r="N173" s="67"/>
      <c r="O173" s="67"/>
      <c r="P173" s="67"/>
      <c r="Q173" s="67"/>
      <c r="R173" s="67"/>
      <c r="S173" s="67"/>
      <c r="T173" s="67"/>
      <c r="U173" s="67"/>
      <c r="V173" s="67"/>
      <c r="W173" s="67"/>
      <c r="X173" s="67"/>
      <c r="Y173" s="67"/>
      <c r="Z173" s="67"/>
      <c r="AA173" s="67"/>
      <c r="AB173" s="67"/>
      <c r="AC173" s="67"/>
      <c r="AD173" s="67"/>
      <c r="AE173" s="67"/>
      <c r="AF173" s="67"/>
      <c r="AG173" s="67"/>
    </row>
    <row r="174" spans="13:33" ht="14.25">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3" ht="14.25">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3" ht="14.25">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3" ht="14.25">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3" ht="14.25">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3" ht="14.25">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3" ht="14.25">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3" ht="14.25">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3" ht="14.25">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3" ht="14.25">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3" ht="14.25">
      <c r="M184" s="67"/>
      <c r="N184" s="67"/>
      <c r="O184" s="67"/>
      <c r="P184" s="67"/>
      <c r="Q184" s="67"/>
      <c r="R184" s="67"/>
      <c r="S184" s="67"/>
      <c r="T184" s="67"/>
      <c r="U184" s="67"/>
      <c r="V184" s="67"/>
      <c r="W184" s="67"/>
      <c r="X184" s="67"/>
      <c r="Y184" s="67"/>
      <c r="Z184" s="67"/>
      <c r="AA184" s="67"/>
      <c r="AB184" s="67"/>
      <c r="AC184" s="67"/>
      <c r="AD184" s="67"/>
      <c r="AE184" s="67"/>
      <c r="AF184" s="67"/>
      <c r="AG184" s="67"/>
    </row>
  </sheetData>
  <sheetProtection/>
  <mergeCells count="3">
    <mergeCell ref="I4:L4"/>
    <mergeCell ref="A2:C2"/>
    <mergeCell ref="D4:G4"/>
  </mergeCells>
  <hyperlinks>
    <hyperlink ref="A2" location="Index!A1" display="Back to Index"/>
  </hyperlinks>
  <printOptions/>
  <pageMargins left="0.75" right="0.75" top="0.69" bottom="1" header="0.5" footer="0.5"/>
  <pageSetup fitToHeight="1" fitToWidth="1" horizontalDpi="600" verticalDpi="600" orientation="portrait" scale="61" r:id="rId1"/>
  <headerFooter alignWithMargins="0">
    <oddFooter>&amp;L&amp;F &amp;A&amp;R&amp;D&amp;T</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R162"/>
  <sheetViews>
    <sheetView zoomScale="75" zoomScaleNormal="75" zoomScalePageLayoutView="0" workbookViewId="0" topLeftCell="A1">
      <pane xSplit="1" ySplit="5" topLeftCell="B6" activePane="bottomRight" state="frozen"/>
      <selection pane="topLeft" activeCell="P25" sqref="P25"/>
      <selection pane="topRight" activeCell="P25" sqref="P25"/>
      <selection pane="bottomLeft" activeCell="P25" sqref="P25"/>
      <selection pane="bottomRight" activeCell="G27" sqref="G27"/>
    </sheetView>
  </sheetViews>
  <sheetFormatPr defaultColWidth="9.140625" defaultRowHeight="12.75"/>
  <cols>
    <col min="1" max="1" width="3.7109375" style="0" customWidth="1"/>
    <col min="2" max="2" width="62.57421875" style="0" customWidth="1"/>
    <col min="3" max="3" width="13.00390625" style="221" bestFit="1" customWidth="1"/>
    <col min="4" max="4" width="2.28125" style="231" customWidth="1"/>
    <col min="5" max="5" width="13.00390625" style="221" bestFit="1" customWidth="1"/>
    <col min="6" max="6" width="9.7109375" style="0" customWidth="1"/>
    <col min="7" max="9" width="9.140625" style="67" customWidth="1"/>
    <col min="10" max="10" width="10.28125" style="0" bestFit="1" customWidth="1"/>
  </cols>
  <sheetData>
    <row r="1" spans="1:18" s="42" customFormat="1" ht="20.25">
      <c r="A1" s="41" t="s">
        <v>329</v>
      </c>
      <c r="C1" s="316"/>
      <c r="D1" s="229"/>
      <c r="E1" s="316"/>
      <c r="F1" s="43"/>
      <c r="G1" s="43"/>
      <c r="H1" s="43"/>
      <c r="I1" s="43"/>
      <c r="J1" s="43"/>
      <c r="K1" s="43"/>
      <c r="L1" s="43"/>
      <c r="M1" s="43"/>
      <c r="N1" s="43"/>
      <c r="O1" s="43"/>
      <c r="P1" s="43"/>
      <c r="Q1" s="43"/>
      <c r="R1" s="43"/>
    </row>
    <row r="2" spans="1:18" s="44" customFormat="1" ht="15">
      <c r="A2" s="590" t="s">
        <v>80</v>
      </c>
      <c r="B2" s="590"/>
      <c r="C2" s="590"/>
      <c r="D2" s="230"/>
      <c r="E2" s="287"/>
      <c r="M2" s="45"/>
      <c r="N2" s="45"/>
      <c r="R2" s="45"/>
    </row>
    <row r="3" spans="1:6" ht="15" thickBot="1">
      <c r="A3" s="80"/>
      <c r="B3" s="80"/>
      <c r="F3" s="80"/>
    </row>
    <row r="4" spans="1:9" ht="15.75" thickTop="1">
      <c r="A4" s="80"/>
      <c r="B4" s="606" t="s">
        <v>294</v>
      </c>
      <c r="C4" s="419" t="s">
        <v>436</v>
      </c>
      <c r="D4" s="604"/>
      <c r="E4" s="419" t="s">
        <v>436</v>
      </c>
      <c r="G4"/>
      <c r="H4"/>
      <c r="I4"/>
    </row>
    <row r="5" spans="1:9" ht="15.75" thickBot="1">
      <c r="A5" s="80"/>
      <c r="B5" s="607"/>
      <c r="C5" s="350">
        <v>2013</v>
      </c>
      <c r="D5" s="605"/>
      <c r="E5" s="350">
        <v>2012</v>
      </c>
      <c r="G5"/>
      <c r="H5"/>
      <c r="I5"/>
    </row>
    <row r="6" spans="1:9" ht="15.75" thickTop="1">
      <c r="A6" s="80"/>
      <c r="B6" s="206"/>
      <c r="C6" s="530"/>
      <c r="D6" s="232"/>
      <c r="E6" s="255"/>
      <c r="G6"/>
      <c r="H6"/>
      <c r="I6"/>
    </row>
    <row r="7" spans="1:9" ht="15">
      <c r="A7" s="80"/>
      <c r="B7" s="207" t="s">
        <v>295</v>
      </c>
      <c r="C7" s="522"/>
      <c r="D7" s="226"/>
      <c r="E7" s="227"/>
      <c r="G7" s="581"/>
      <c r="H7"/>
      <c r="I7"/>
    </row>
    <row r="8" spans="1:9" ht="15">
      <c r="A8" s="80"/>
      <c r="B8" s="208" t="s">
        <v>389</v>
      </c>
      <c r="C8" s="385">
        <v>2854</v>
      </c>
      <c r="D8" s="226"/>
      <c r="E8" s="385">
        <v>2756</v>
      </c>
      <c r="G8" s="581"/>
      <c r="H8"/>
      <c r="I8"/>
    </row>
    <row r="9" spans="1:9" ht="15">
      <c r="A9" s="80"/>
      <c r="B9" s="206"/>
      <c r="C9" s="385"/>
      <c r="D9" s="226"/>
      <c r="E9" s="385"/>
      <c r="G9" s="581"/>
      <c r="H9"/>
      <c r="I9"/>
    </row>
    <row r="10" spans="1:9" ht="15">
      <c r="A10" s="80"/>
      <c r="B10" s="209" t="s">
        <v>296</v>
      </c>
      <c r="C10" s="385"/>
      <c r="D10" s="226"/>
      <c r="E10" s="385"/>
      <c r="G10" s="581"/>
      <c r="H10"/>
      <c r="I10"/>
    </row>
    <row r="11" spans="1:9" ht="15">
      <c r="A11" s="80"/>
      <c r="B11" s="208" t="s">
        <v>8</v>
      </c>
      <c r="C11" s="385">
        <v>619</v>
      </c>
      <c r="D11" s="226"/>
      <c r="E11" s="385">
        <v>303</v>
      </c>
      <c r="F11" s="208"/>
      <c r="G11" s="581"/>
      <c r="H11"/>
      <c r="I11"/>
    </row>
    <row r="12" spans="1:9" ht="15">
      <c r="A12" s="80"/>
      <c r="B12" s="208" t="s">
        <v>245</v>
      </c>
      <c r="C12" s="385">
        <v>160</v>
      </c>
      <c r="D12" s="226"/>
      <c r="E12" s="385">
        <v>126</v>
      </c>
      <c r="F12" s="208"/>
      <c r="G12" s="581"/>
      <c r="H12"/>
      <c r="I12"/>
    </row>
    <row r="13" spans="1:9" ht="15">
      <c r="A13" s="80"/>
      <c r="B13" s="208" t="s">
        <v>67</v>
      </c>
      <c r="C13" s="423">
        <v>-66</v>
      </c>
      <c r="D13" s="226"/>
      <c r="E13" s="423">
        <v>-103</v>
      </c>
      <c r="F13" s="208"/>
      <c r="G13" s="581"/>
      <c r="H13"/>
      <c r="I13"/>
    </row>
    <row r="14" spans="1:9" ht="28.5">
      <c r="A14" s="80"/>
      <c r="B14" s="208" t="s">
        <v>370</v>
      </c>
      <c r="C14" s="423">
        <v>-44</v>
      </c>
      <c r="D14" s="226"/>
      <c r="E14" s="423">
        <v>-8</v>
      </c>
      <c r="F14" s="208"/>
      <c r="G14" s="581"/>
      <c r="H14"/>
      <c r="I14"/>
    </row>
    <row r="15" spans="1:9" ht="15">
      <c r="A15" s="80"/>
      <c r="B15" s="208" t="s">
        <v>243</v>
      </c>
      <c r="C15" s="423">
        <v>-194</v>
      </c>
      <c r="D15" s="226"/>
      <c r="E15" s="423">
        <v>-316</v>
      </c>
      <c r="F15" s="208"/>
      <c r="G15"/>
      <c r="H15"/>
      <c r="I15"/>
    </row>
    <row r="16" spans="1:9" ht="15.75" thickBot="1">
      <c r="A16" s="80"/>
      <c r="B16" s="208" t="s">
        <v>68</v>
      </c>
      <c r="C16" s="423">
        <v>481</v>
      </c>
      <c r="D16" s="226"/>
      <c r="E16" s="423">
        <v>478</v>
      </c>
      <c r="F16" s="208"/>
      <c r="G16"/>
      <c r="H16"/>
      <c r="I16"/>
    </row>
    <row r="17" spans="1:9" ht="15">
      <c r="A17" s="80"/>
      <c r="B17" s="208" t="s">
        <v>297</v>
      </c>
      <c r="C17" s="424">
        <f>SUM(C8:C16)</f>
        <v>3810</v>
      </c>
      <c r="D17" s="226"/>
      <c r="E17" s="424">
        <f>SUM(E8:E16)</f>
        <v>3236</v>
      </c>
      <c r="F17" s="208"/>
      <c r="G17"/>
      <c r="H17"/>
      <c r="I17"/>
    </row>
    <row r="18" spans="1:9" ht="15">
      <c r="A18" s="80"/>
      <c r="B18" s="206"/>
      <c r="C18" s="423"/>
      <c r="D18" s="226"/>
      <c r="E18" s="423"/>
      <c r="G18"/>
      <c r="H18"/>
      <c r="I18"/>
    </row>
    <row r="19" spans="1:9" ht="15">
      <c r="A19" s="80"/>
      <c r="B19" s="209" t="s">
        <v>298</v>
      </c>
      <c r="C19" s="385"/>
      <c r="D19" s="226"/>
      <c r="E19" s="385"/>
      <c r="G19"/>
      <c r="H19"/>
      <c r="I19"/>
    </row>
    <row r="20" spans="1:10" ht="15">
      <c r="A20" s="80"/>
      <c r="B20" s="208" t="s">
        <v>299</v>
      </c>
      <c r="C20" s="385">
        <v>2675</v>
      </c>
      <c r="D20" s="226"/>
      <c r="E20" s="385">
        <v>517</v>
      </c>
      <c r="F20" s="208"/>
      <c r="G20"/>
      <c r="H20"/>
      <c r="I20"/>
      <c r="J20" s="250"/>
    </row>
    <row r="21" spans="1:10" ht="15">
      <c r="A21" s="80"/>
      <c r="B21" s="208" t="s">
        <v>276</v>
      </c>
      <c r="C21" s="385">
        <v>27491</v>
      </c>
      <c r="D21" s="226"/>
      <c r="E21" s="385">
        <v>17491</v>
      </c>
      <c r="F21" s="208"/>
      <c r="G21"/>
      <c r="H21"/>
      <c r="I21"/>
      <c r="J21" s="250"/>
    </row>
    <row r="22" spans="1:10" ht="15">
      <c r="A22" s="80"/>
      <c r="B22" s="208" t="s">
        <v>300</v>
      </c>
      <c r="C22" s="385">
        <v>1645</v>
      </c>
      <c r="D22" s="226"/>
      <c r="E22" s="385">
        <v>-871</v>
      </c>
      <c r="F22" s="208"/>
      <c r="G22"/>
      <c r="H22"/>
      <c r="I22"/>
      <c r="J22" s="250"/>
    </row>
    <row r="23" spans="1:10" ht="15">
      <c r="A23" s="80"/>
      <c r="B23" s="208" t="s">
        <v>301</v>
      </c>
      <c r="C23" s="385">
        <v>3070</v>
      </c>
      <c r="D23" s="226"/>
      <c r="E23" s="385">
        <v>-2769.893</v>
      </c>
      <c r="F23" s="208"/>
      <c r="G23"/>
      <c r="H23"/>
      <c r="I23"/>
      <c r="J23" s="250"/>
    </row>
    <row r="24" spans="1:10" ht="15">
      <c r="A24" s="80"/>
      <c r="B24" s="208" t="s">
        <v>302</v>
      </c>
      <c r="C24" s="385">
        <v>12365</v>
      </c>
      <c r="D24" s="226"/>
      <c r="E24" s="385">
        <v>3147.893</v>
      </c>
      <c r="F24" s="208"/>
      <c r="G24"/>
      <c r="H24"/>
      <c r="I24"/>
      <c r="J24" s="250"/>
    </row>
    <row r="25" spans="1:10" ht="15">
      <c r="A25" s="80"/>
      <c r="B25" s="206"/>
      <c r="C25" s="385"/>
      <c r="D25" s="226"/>
      <c r="E25" s="385"/>
      <c r="G25"/>
      <c r="H25"/>
      <c r="I25"/>
      <c r="J25" s="250"/>
    </row>
    <row r="26" spans="1:10" ht="15">
      <c r="A26" s="80"/>
      <c r="B26" s="209" t="s">
        <v>413</v>
      </c>
      <c r="C26" s="385"/>
      <c r="D26" s="226"/>
      <c r="E26" s="385"/>
      <c r="G26"/>
      <c r="H26"/>
      <c r="I26"/>
      <c r="J26" s="250"/>
    </row>
    <row r="27" spans="1:10" ht="15">
      <c r="A27" s="80"/>
      <c r="B27" s="208" t="s">
        <v>377</v>
      </c>
      <c r="C27" s="385">
        <v>-890</v>
      </c>
      <c r="D27" s="226"/>
      <c r="E27" s="385">
        <v>-267</v>
      </c>
      <c r="F27" s="208"/>
      <c r="G27"/>
      <c r="H27"/>
      <c r="I27"/>
      <c r="J27" s="250"/>
    </row>
    <row r="28" spans="1:10" ht="15">
      <c r="A28" s="80"/>
      <c r="B28" s="208" t="s">
        <v>261</v>
      </c>
      <c r="C28" s="385">
        <v>2220</v>
      </c>
      <c r="D28" s="226"/>
      <c r="E28" s="385">
        <v>999</v>
      </c>
      <c r="F28" s="208"/>
      <c r="G28"/>
      <c r="H28"/>
      <c r="I28"/>
      <c r="J28" s="250"/>
    </row>
    <row r="29" spans="1:10" ht="15">
      <c r="A29" s="80"/>
      <c r="B29" s="208" t="s">
        <v>262</v>
      </c>
      <c r="C29" s="385">
        <v>-9431</v>
      </c>
      <c r="D29" s="226"/>
      <c r="E29" s="385">
        <v>-15787</v>
      </c>
      <c r="F29" s="208"/>
      <c r="G29"/>
      <c r="H29"/>
      <c r="I29"/>
      <c r="J29" s="250"/>
    </row>
    <row r="30" spans="1:10" ht="15">
      <c r="A30" s="80"/>
      <c r="B30" s="208" t="s">
        <v>303</v>
      </c>
      <c r="C30" s="385">
        <v>-3419</v>
      </c>
      <c r="D30" s="226"/>
      <c r="E30" s="385">
        <v>-804</v>
      </c>
      <c r="F30" s="208"/>
      <c r="G30"/>
      <c r="H30"/>
      <c r="I30"/>
      <c r="J30" s="250"/>
    </row>
    <row r="31" spans="1:10" ht="15">
      <c r="A31" s="80"/>
      <c r="B31" s="208" t="s">
        <v>304</v>
      </c>
      <c r="C31" s="385">
        <v>-31540</v>
      </c>
      <c r="D31" s="226"/>
      <c r="E31" s="385">
        <v>-7451</v>
      </c>
      <c r="F31" s="208"/>
      <c r="G31"/>
      <c r="H31"/>
      <c r="I31"/>
      <c r="J31" s="250"/>
    </row>
    <row r="32" spans="1:10" ht="15">
      <c r="A32" s="80"/>
      <c r="B32" s="208" t="s">
        <v>265</v>
      </c>
      <c r="C32" s="385">
        <v>-730</v>
      </c>
      <c r="D32" s="226"/>
      <c r="E32" s="385">
        <v>-2435</v>
      </c>
      <c r="F32" s="208"/>
      <c r="G32"/>
      <c r="H32"/>
      <c r="I32"/>
      <c r="J32" s="250"/>
    </row>
    <row r="33" spans="1:10" ht="15">
      <c r="A33" s="80"/>
      <c r="B33" s="208" t="s">
        <v>272</v>
      </c>
      <c r="C33" s="385">
        <v>-4109</v>
      </c>
      <c r="D33" s="226"/>
      <c r="E33" s="385">
        <v>-298</v>
      </c>
      <c r="F33" s="208"/>
      <c r="G33"/>
      <c r="H33"/>
      <c r="I33"/>
      <c r="J33" s="250"/>
    </row>
    <row r="34" spans="1:10" ht="15">
      <c r="A34" s="80"/>
      <c r="B34" s="206"/>
      <c r="C34" s="385"/>
      <c r="D34" s="226"/>
      <c r="E34" s="385"/>
      <c r="G34"/>
      <c r="H34"/>
      <c r="I34"/>
      <c r="J34" s="250"/>
    </row>
    <row r="35" spans="1:10" ht="15">
      <c r="A35" s="80"/>
      <c r="B35" s="208" t="s">
        <v>305</v>
      </c>
      <c r="C35" s="385">
        <v>-340</v>
      </c>
      <c r="D35" s="226"/>
      <c r="E35" s="385">
        <v>-360</v>
      </c>
      <c r="G35"/>
      <c r="H35"/>
      <c r="I35"/>
      <c r="J35" s="250"/>
    </row>
    <row r="36" spans="1:10" ht="15.75" thickBot="1">
      <c r="A36" s="80"/>
      <c r="B36" s="206"/>
      <c r="C36" s="398"/>
      <c r="D36" s="226"/>
      <c r="E36" s="398"/>
      <c r="G36"/>
      <c r="H36"/>
      <c r="I36"/>
      <c r="J36" s="250"/>
    </row>
    <row r="37" spans="1:10" ht="15.75" thickBot="1">
      <c r="A37" s="80"/>
      <c r="B37" s="371" t="s">
        <v>414</v>
      </c>
      <c r="C37" s="398">
        <f>SUM(C17:C35)</f>
        <v>2817</v>
      </c>
      <c r="D37" s="226"/>
      <c r="E37" s="398">
        <f>SUM(E17:E35)</f>
        <v>-5652</v>
      </c>
      <c r="G37"/>
      <c r="H37"/>
      <c r="I37"/>
      <c r="J37" s="250"/>
    </row>
    <row r="38" spans="1:10" ht="15">
      <c r="A38" s="80"/>
      <c r="B38" s="206"/>
      <c r="C38" s="385"/>
      <c r="D38" s="226"/>
      <c r="E38" s="385"/>
      <c r="G38"/>
      <c r="H38"/>
      <c r="I38"/>
      <c r="J38" s="250"/>
    </row>
    <row r="39" spans="1:10" ht="15">
      <c r="A39" s="80"/>
      <c r="B39" s="207" t="s">
        <v>306</v>
      </c>
      <c r="C39" s="385"/>
      <c r="D39" s="226"/>
      <c r="E39" s="385"/>
      <c r="G39"/>
      <c r="H39"/>
      <c r="I39"/>
      <c r="J39" s="250"/>
    </row>
    <row r="40" spans="1:10" ht="15">
      <c r="A40" s="80"/>
      <c r="B40" s="207"/>
      <c r="C40" s="385"/>
      <c r="D40" s="226"/>
      <c r="E40" s="385"/>
      <c r="G40"/>
      <c r="H40"/>
      <c r="I40"/>
      <c r="J40" s="250"/>
    </row>
    <row r="41" spans="1:10" ht="15">
      <c r="A41" s="80"/>
      <c r="B41" s="208" t="s">
        <v>426</v>
      </c>
      <c r="C41" s="385">
        <v>-2</v>
      </c>
      <c r="D41" s="226"/>
      <c r="E41" s="385">
        <v>-12</v>
      </c>
      <c r="G41"/>
      <c r="H41"/>
      <c r="I41"/>
      <c r="J41" s="250"/>
    </row>
    <row r="42" spans="1:10" ht="15">
      <c r="A42" s="80"/>
      <c r="B42" s="208" t="s">
        <v>307</v>
      </c>
      <c r="C42" s="385">
        <v>36</v>
      </c>
      <c r="D42" s="226"/>
      <c r="E42" s="385">
        <v>74</v>
      </c>
      <c r="F42" s="208"/>
      <c r="G42"/>
      <c r="H42"/>
      <c r="I42"/>
      <c r="J42" s="250"/>
    </row>
    <row r="43" spans="1:10" ht="15">
      <c r="A43" s="80"/>
      <c r="B43" s="208" t="s">
        <v>308</v>
      </c>
      <c r="C43" s="385">
        <v>-155</v>
      </c>
      <c r="D43" s="226"/>
      <c r="E43" s="385">
        <v>-184</v>
      </c>
      <c r="F43" s="208"/>
      <c r="G43"/>
      <c r="H43"/>
      <c r="I43"/>
      <c r="J43" s="250"/>
    </row>
    <row r="44" spans="1:10" ht="15">
      <c r="A44" s="80"/>
      <c r="B44" s="208" t="s">
        <v>309</v>
      </c>
      <c r="C44" s="385">
        <v>61</v>
      </c>
      <c r="D44" s="226"/>
      <c r="E44" s="385">
        <v>31</v>
      </c>
      <c r="F44" s="208"/>
      <c r="G44"/>
      <c r="H44"/>
      <c r="I44"/>
      <c r="J44" s="250"/>
    </row>
    <row r="45" spans="1:10" ht="15.75" thickBot="1">
      <c r="A45" s="80"/>
      <c r="B45" s="210"/>
      <c r="C45" s="398"/>
      <c r="D45" s="226"/>
      <c r="E45" s="398"/>
      <c r="F45" s="208"/>
      <c r="G45"/>
      <c r="H45"/>
      <c r="I45"/>
      <c r="J45" s="250"/>
    </row>
    <row r="46" spans="1:10" ht="15.75" thickBot="1">
      <c r="A46" s="80"/>
      <c r="B46" s="211" t="s">
        <v>427</v>
      </c>
      <c r="C46" s="398">
        <f>SUM(C41:C44)</f>
        <v>-60</v>
      </c>
      <c r="D46" s="226"/>
      <c r="E46" s="398">
        <f>SUM(E41:E44)</f>
        <v>-91</v>
      </c>
      <c r="G46"/>
      <c r="H46"/>
      <c r="I46"/>
      <c r="J46" s="250"/>
    </row>
    <row r="47" spans="1:10" ht="15">
      <c r="A47" s="80"/>
      <c r="B47" s="210"/>
      <c r="C47" s="385"/>
      <c r="D47" s="226"/>
      <c r="E47" s="385"/>
      <c r="G47"/>
      <c r="H47"/>
      <c r="I47"/>
      <c r="J47" s="250"/>
    </row>
    <row r="48" spans="1:10" ht="15">
      <c r="A48" s="80"/>
      <c r="B48" s="211" t="s">
        <v>310</v>
      </c>
      <c r="C48" s="385"/>
      <c r="D48" s="226"/>
      <c r="E48" s="385"/>
      <c r="G48"/>
      <c r="H48"/>
      <c r="I48"/>
      <c r="J48" s="250"/>
    </row>
    <row r="49" spans="1:10" ht="15">
      <c r="A49" s="80"/>
      <c r="B49" s="212" t="s">
        <v>379</v>
      </c>
      <c r="C49" s="385">
        <v>124</v>
      </c>
      <c r="D49" s="226"/>
      <c r="E49" s="385">
        <v>292</v>
      </c>
      <c r="G49"/>
      <c r="H49"/>
      <c r="I49"/>
      <c r="J49" s="250"/>
    </row>
    <row r="50" spans="1:10" ht="15">
      <c r="A50" s="80"/>
      <c r="B50" s="208" t="s">
        <v>338</v>
      </c>
      <c r="C50" s="385">
        <v>0</v>
      </c>
      <c r="D50" s="226"/>
      <c r="E50" s="385">
        <v>-2575</v>
      </c>
      <c r="G50"/>
      <c r="H50"/>
      <c r="I50"/>
      <c r="J50" s="250"/>
    </row>
    <row r="51" spans="1:10" ht="15">
      <c r="A51" s="80"/>
      <c r="B51" s="335" t="s">
        <v>415</v>
      </c>
      <c r="C51" s="385">
        <v>0</v>
      </c>
      <c r="D51" s="226"/>
      <c r="E51" s="385">
        <v>2943</v>
      </c>
      <c r="G51"/>
      <c r="H51"/>
      <c r="I51"/>
      <c r="J51" s="250"/>
    </row>
    <row r="52" spans="1:10" ht="15">
      <c r="A52" s="80"/>
      <c r="B52" s="208" t="s">
        <v>356</v>
      </c>
      <c r="C52" s="385">
        <v>-28</v>
      </c>
      <c r="D52" s="226"/>
      <c r="E52" s="385">
        <v>-109</v>
      </c>
      <c r="G52"/>
      <c r="H52"/>
      <c r="I52"/>
      <c r="J52" s="250"/>
    </row>
    <row r="53" spans="1:10" ht="15">
      <c r="A53" s="80"/>
      <c r="B53" s="208" t="s">
        <v>336</v>
      </c>
      <c r="C53" s="385">
        <v>-1376</v>
      </c>
      <c r="D53" s="226"/>
      <c r="E53" s="385">
        <v>-1364</v>
      </c>
      <c r="G53"/>
      <c r="H53"/>
      <c r="I53"/>
      <c r="J53" s="250"/>
    </row>
    <row r="54" spans="1:10" ht="15">
      <c r="A54" s="80"/>
      <c r="B54" s="208" t="s">
        <v>425</v>
      </c>
      <c r="C54" s="385">
        <v>-103</v>
      </c>
      <c r="D54" s="226"/>
      <c r="E54" s="385">
        <v>0</v>
      </c>
      <c r="G54"/>
      <c r="H54"/>
      <c r="I54"/>
      <c r="J54" s="250"/>
    </row>
    <row r="55" spans="1:5" ht="15.75" thickBot="1">
      <c r="A55" s="80"/>
      <c r="B55" s="208"/>
      <c r="C55" s="398"/>
      <c r="D55" s="226"/>
      <c r="E55" s="398"/>
    </row>
    <row r="56" spans="1:10" ht="15.75" thickBot="1">
      <c r="A56" s="80"/>
      <c r="B56" s="207" t="s">
        <v>378</v>
      </c>
      <c r="C56" s="398">
        <f>SUM(C49:C54)</f>
        <v>-1383</v>
      </c>
      <c r="D56" s="226"/>
      <c r="E56" s="398">
        <f>SUM(E49:E54)</f>
        <v>-813</v>
      </c>
      <c r="G56"/>
      <c r="H56"/>
      <c r="I56"/>
      <c r="J56" s="250"/>
    </row>
    <row r="57" spans="1:10" ht="15.75" thickBot="1">
      <c r="A57" s="80"/>
      <c r="B57" s="208" t="s">
        <v>311</v>
      </c>
      <c r="C57" s="398">
        <v>-110</v>
      </c>
      <c r="D57" s="226"/>
      <c r="E57" s="398">
        <v>-72</v>
      </c>
      <c r="G57"/>
      <c r="H57"/>
      <c r="I57"/>
      <c r="J57" s="250"/>
    </row>
    <row r="58" spans="1:10" ht="15">
      <c r="A58" s="80"/>
      <c r="B58" s="206"/>
      <c r="C58" s="385"/>
      <c r="D58" s="226"/>
      <c r="E58" s="385"/>
      <c r="G58"/>
      <c r="H58"/>
      <c r="I58"/>
      <c r="J58" s="250"/>
    </row>
    <row r="59" spans="1:10" ht="15">
      <c r="A59" s="80"/>
      <c r="B59" s="207" t="s">
        <v>312</v>
      </c>
      <c r="C59" s="385">
        <f>C37+C46+C56+C57</f>
        <v>1264</v>
      </c>
      <c r="D59" s="226"/>
      <c r="E59" s="385">
        <f>E37+E46+E56+E57</f>
        <v>-6628</v>
      </c>
      <c r="G59"/>
      <c r="H59"/>
      <c r="I59"/>
      <c r="J59" s="250"/>
    </row>
    <row r="60" spans="1:10" ht="15.75" thickBot="1">
      <c r="A60" s="80"/>
      <c r="B60" s="207" t="s">
        <v>313</v>
      </c>
      <c r="C60" s="385">
        <v>10993</v>
      </c>
      <c r="D60" s="226"/>
      <c r="E60" s="385">
        <v>18891</v>
      </c>
      <c r="G60"/>
      <c r="H60"/>
      <c r="I60"/>
      <c r="J60" s="250"/>
    </row>
    <row r="61" spans="1:10" ht="15.75" thickBot="1">
      <c r="A61" s="80"/>
      <c r="B61" s="371" t="s">
        <v>385</v>
      </c>
      <c r="C61" s="425">
        <f>SUM(C59:C60)</f>
        <v>12257</v>
      </c>
      <c r="D61" s="226"/>
      <c r="E61" s="425">
        <f>SUM(E59:E60)</f>
        <v>12263</v>
      </c>
      <c r="G61"/>
      <c r="H61"/>
      <c r="I61"/>
      <c r="J61" s="250"/>
    </row>
    <row r="62" spans="1:9" ht="15">
      <c r="A62" s="80"/>
      <c r="B62" s="207"/>
      <c r="C62" s="531"/>
      <c r="D62" s="226"/>
      <c r="E62" s="336"/>
      <c r="G62"/>
      <c r="H62"/>
      <c r="I62"/>
    </row>
    <row r="63" spans="1:9" ht="15">
      <c r="A63" s="80"/>
      <c r="B63" s="207"/>
      <c r="C63" s="227"/>
      <c r="D63" s="226"/>
      <c r="E63" s="227"/>
      <c r="G63"/>
      <c r="H63"/>
      <c r="I63"/>
    </row>
    <row r="64" spans="1:9" ht="15.75" thickBot="1">
      <c r="A64" s="80"/>
      <c r="B64" s="213"/>
      <c r="C64" s="228"/>
      <c r="D64" s="233"/>
      <c r="E64" s="228"/>
      <c r="G64"/>
      <c r="H64"/>
      <c r="I64"/>
    </row>
    <row r="65" spans="4:7" ht="15" thickTop="1">
      <c r="D65" s="234"/>
      <c r="G65"/>
    </row>
    <row r="66" spans="4:7" ht="14.25">
      <c r="D66" s="234"/>
      <c r="G66"/>
    </row>
    <row r="67" spans="4:7" ht="14.25">
      <c r="D67" s="234"/>
      <c r="G67"/>
    </row>
    <row r="68" spans="4:7" ht="14.25">
      <c r="D68" s="234"/>
      <c r="G68"/>
    </row>
    <row r="69" spans="4:7" ht="14.25">
      <c r="D69" s="234"/>
      <c r="G69"/>
    </row>
    <row r="70" spans="4:7" ht="14.25">
      <c r="D70" s="234"/>
      <c r="G70"/>
    </row>
    <row r="71" ht="14.25">
      <c r="D71" s="234"/>
    </row>
    <row r="72" ht="14.25">
      <c r="D72" s="234"/>
    </row>
    <row r="73" ht="14.25">
      <c r="D73" s="234"/>
    </row>
    <row r="74" ht="14.25">
      <c r="D74" s="234"/>
    </row>
    <row r="75" ht="14.25">
      <c r="D75" s="234"/>
    </row>
    <row r="76" ht="14.25">
      <c r="D76" s="234"/>
    </row>
    <row r="77" ht="14.25">
      <c r="D77" s="234"/>
    </row>
    <row r="78" ht="14.25">
      <c r="D78" s="234"/>
    </row>
    <row r="79" ht="14.25">
      <c r="D79" s="234"/>
    </row>
    <row r="80" ht="14.25">
      <c r="D80" s="234"/>
    </row>
    <row r="81" ht="14.25">
      <c r="D81" s="234"/>
    </row>
    <row r="82" ht="14.25">
      <c r="D82" s="234"/>
    </row>
    <row r="83" ht="14.25">
      <c r="D83" s="234"/>
    </row>
    <row r="84" ht="14.25">
      <c r="D84" s="234"/>
    </row>
    <row r="85" ht="14.25">
      <c r="D85" s="234"/>
    </row>
    <row r="86" ht="14.25">
      <c r="D86" s="234"/>
    </row>
    <row r="87" ht="14.25">
      <c r="D87" s="234"/>
    </row>
    <row r="88" ht="14.25">
      <c r="D88" s="234"/>
    </row>
    <row r="89" ht="14.25">
      <c r="D89" s="234"/>
    </row>
    <row r="90" ht="14.25">
      <c r="D90" s="234"/>
    </row>
    <row r="91" ht="14.25">
      <c r="D91" s="234"/>
    </row>
    <row r="92" ht="14.25">
      <c r="D92" s="234"/>
    </row>
    <row r="93" ht="14.25">
      <c r="D93" s="234"/>
    </row>
    <row r="94" ht="14.25">
      <c r="D94" s="234"/>
    </row>
    <row r="95" ht="14.25">
      <c r="D95" s="234"/>
    </row>
    <row r="96" ht="14.25">
      <c r="D96" s="234"/>
    </row>
    <row r="97" ht="14.25">
      <c r="D97" s="234"/>
    </row>
    <row r="98" ht="14.25">
      <c r="D98" s="234"/>
    </row>
    <row r="99" ht="14.25">
      <c r="D99" s="234"/>
    </row>
    <row r="100" ht="14.25">
      <c r="D100" s="234"/>
    </row>
    <row r="101" ht="14.25">
      <c r="D101" s="234"/>
    </row>
    <row r="102" ht="14.25">
      <c r="D102" s="234"/>
    </row>
    <row r="103" ht="14.25">
      <c r="D103" s="234"/>
    </row>
    <row r="104" ht="14.25">
      <c r="D104" s="234"/>
    </row>
    <row r="105" ht="14.25">
      <c r="D105" s="234"/>
    </row>
    <row r="106" ht="14.25">
      <c r="D106" s="234"/>
    </row>
    <row r="107" ht="14.25">
      <c r="D107" s="234"/>
    </row>
    <row r="108" ht="14.25">
      <c r="D108" s="234"/>
    </row>
    <row r="109" ht="14.25">
      <c r="D109" s="234"/>
    </row>
    <row r="110" ht="14.25">
      <c r="D110" s="234"/>
    </row>
    <row r="111" ht="14.25">
      <c r="D111" s="234"/>
    </row>
    <row r="112" ht="14.25">
      <c r="D112" s="234"/>
    </row>
    <row r="113" ht="14.25">
      <c r="D113" s="234"/>
    </row>
    <row r="114" ht="14.25">
      <c r="D114" s="234"/>
    </row>
    <row r="115" ht="14.25">
      <c r="D115" s="234"/>
    </row>
    <row r="116" ht="14.25">
      <c r="D116" s="234"/>
    </row>
    <row r="117" ht="14.25">
      <c r="D117" s="234"/>
    </row>
    <row r="118" ht="14.25">
      <c r="D118" s="234"/>
    </row>
    <row r="119" ht="14.25">
      <c r="D119" s="234"/>
    </row>
    <row r="120" ht="14.25">
      <c r="D120" s="234"/>
    </row>
    <row r="121" ht="14.25">
      <c r="D121" s="234"/>
    </row>
    <row r="122" ht="14.25">
      <c r="D122" s="234"/>
    </row>
    <row r="123" ht="14.25">
      <c r="D123" s="234"/>
    </row>
    <row r="124" ht="14.25">
      <c r="D124" s="234"/>
    </row>
    <row r="125" ht="14.25">
      <c r="D125" s="234"/>
    </row>
    <row r="126" ht="14.25">
      <c r="D126" s="234"/>
    </row>
    <row r="127" ht="14.25">
      <c r="D127" s="234"/>
    </row>
    <row r="128" ht="14.25">
      <c r="D128" s="234"/>
    </row>
    <row r="129" ht="14.25">
      <c r="D129" s="234"/>
    </row>
    <row r="130" ht="14.25">
      <c r="D130" s="234"/>
    </row>
    <row r="131" ht="14.25">
      <c r="D131" s="234"/>
    </row>
    <row r="132" ht="14.25">
      <c r="D132" s="234"/>
    </row>
    <row r="133" ht="14.25">
      <c r="D133" s="234"/>
    </row>
    <row r="134" ht="14.25">
      <c r="D134" s="234"/>
    </row>
    <row r="135" ht="14.25">
      <c r="D135" s="234"/>
    </row>
    <row r="136" ht="14.25">
      <c r="D136" s="234"/>
    </row>
    <row r="137" ht="14.25">
      <c r="D137" s="234"/>
    </row>
    <row r="138" ht="14.25">
      <c r="D138" s="234"/>
    </row>
    <row r="139" ht="14.25">
      <c r="D139" s="234"/>
    </row>
    <row r="140" ht="14.25">
      <c r="D140" s="234"/>
    </row>
    <row r="141" ht="14.25">
      <c r="D141" s="234"/>
    </row>
    <row r="142" ht="14.25">
      <c r="D142" s="234"/>
    </row>
    <row r="143" ht="14.25">
      <c r="D143" s="234"/>
    </row>
    <row r="144" ht="14.25">
      <c r="D144" s="234"/>
    </row>
    <row r="145" ht="14.25">
      <c r="D145" s="234"/>
    </row>
    <row r="146" ht="14.25">
      <c r="D146" s="234"/>
    </row>
    <row r="147" ht="14.25">
      <c r="D147" s="234"/>
    </row>
    <row r="148" ht="14.25">
      <c r="D148" s="234"/>
    </row>
    <row r="149" ht="14.25">
      <c r="D149" s="234"/>
    </row>
    <row r="150" ht="14.25">
      <c r="D150" s="234"/>
    </row>
    <row r="151" ht="14.25">
      <c r="D151" s="234"/>
    </row>
    <row r="152" ht="14.25">
      <c r="D152" s="234"/>
    </row>
    <row r="153" ht="14.25">
      <c r="D153" s="234"/>
    </row>
    <row r="154" ht="14.25">
      <c r="D154" s="234"/>
    </row>
    <row r="155" ht="14.25">
      <c r="D155" s="234"/>
    </row>
    <row r="156" ht="14.25">
      <c r="D156" s="234"/>
    </row>
    <row r="157" ht="14.25">
      <c r="D157" s="234"/>
    </row>
    <row r="158" ht="14.25">
      <c r="D158" s="234"/>
    </row>
    <row r="159" ht="14.25">
      <c r="D159" s="234"/>
    </row>
    <row r="160" ht="14.25">
      <c r="D160" s="234"/>
    </row>
    <row r="161" ht="14.25">
      <c r="D161" s="234"/>
    </row>
    <row r="162" ht="14.25">
      <c r="D162" s="234"/>
    </row>
  </sheetData>
  <sheetProtection/>
  <mergeCells count="3">
    <mergeCell ref="D4:D5"/>
    <mergeCell ref="A2:C2"/>
    <mergeCell ref="B4:B5"/>
  </mergeCells>
  <hyperlinks>
    <hyperlink ref="A2" location="Index!A1" display="Back to Index"/>
  </hyperlinks>
  <printOptions/>
  <pageMargins left="0.75" right="0.75" top="0.72" bottom="1" header="0.5" footer="0.5"/>
  <pageSetup fitToHeight="1" fitToWidth="1" horizontalDpi="600" verticalDpi="600" orientation="portrait" scale="68" r:id="rId1"/>
</worksheet>
</file>

<file path=xl/worksheets/sheet28.xml><?xml version="1.0" encoding="utf-8"?>
<worksheet xmlns="http://schemas.openxmlformats.org/spreadsheetml/2006/main" xmlns:r="http://schemas.openxmlformats.org/officeDocument/2006/relationships">
  <sheetPr>
    <tabColor indexed="25"/>
    <pageSetUpPr fitToPage="1"/>
  </sheetPr>
  <dimension ref="A1:T16"/>
  <sheetViews>
    <sheetView zoomScale="80" zoomScaleNormal="80" zoomScalePageLayoutView="0" workbookViewId="0" topLeftCell="A1">
      <pane ySplit="2" topLeftCell="A3" activePane="bottomLeft" state="frozen"/>
      <selection pane="topLeft" activeCell="P25" sqref="P25"/>
      <selection pane="bottomLeft" activeCell="A1" sqref="A1"/>
    </sheetView>
  </sheetViews>
  <sheetFormatPr defaultColWidth="9.140625" defaultRowHeight="12.75"/>
  <sheetData>
    <row r="1" spans="1:20" s="42" customFormat="1" ht="20.25">
      <c r="A1" s="41" t="s">
        <v>172</v>
      </c>
      <c r="D1" s="41"/>
      <c r="E1" s="41"/>
      <c r="F1" s="43"/>
      <c r="G1" s="43"/>
      <c r="H1" s="43"/>
      <c r="I1" s="43"/>
      <c r="J1" s="43"/>
      <c r="K1" s="43"/>
      <c r="L1" s="43"/>
      <c r="M1" s="43"/>
      <c r="N1" s="43"/>
      <c r="O1" s="43"/>
      <c r="P1" s="43"/>
      <c r="Q1" s="43"/>
      <c r="R1" s="43"/>
      <c r="S1" s="43"/>
      <c r="T1" s="43"/>
    </row>
    <row r="2" spans="1:20" s="44" customFormat="1" ht="15">
      <c r="A2" s="590" t="s">
        <v>80</v>
      </c>
      <c r="B2" s="590"/>
      <c r="C2" s="590"/>
      <c r="O2" s="45"/>
      <c r="P2" s="45"/>
      <c r="T2" s="45"/>
    </row>
    <row r="4" ht="15">
      <c r="A4" s="68" t="s">
        <v>198</v>
      </c>
    </row>
    <row r="5" s="80" customFormat="1" ht="15">
      <c r="A5" s="68" t="s">
        <v>171</v>
      </c>
    </row>
    <row r="6" ht="15">
      <c r="A6" s="68" t="s">
        <v>195</v>
      </c>
    </row>
    <row r="7" s="80" customFormat="1" ht="15">
      <c r="A7" s="68" t="s">
        <v>170</v>
      </c>
    </row>
    <row r="8" s="80" customFormat="1" ht="15">
      <c r="A8" s="68" t="s">
        <v>180</v>
      </c>
    </row>
    <row r="9" ht="15">
      <c r="A9" s="68" t="s">
        <v>177</v>
      </c>
    </row>
    <row r="10" s="80" customFormat="1" ht="15">
      <c r="A10" s="68" t="s">
        <v>167</v>
      </c>
    </row>
    <row r="11" s="80" customFormat="1" ht="15">
      <c r="A11" s="68" t="s">
        <v>168</v>
      </c>
    </row>
    <row r="12" s="80" customFormat="1" ht="15">
      <c r="A12" s="68" t="s">
        <v>178</v>
      </c>
    </row>
    <row r="13" s="80" customFormat="1" ht="15">
      <c r="A13" s="68" t="s">
        <v>179</v>
      </c>
    </row>
    <row r="14" ht="15">
      <c r="A14" s="68" t="s">
        <v>227</v>
      </c>
    </row>
    <row r="15" s="80" customFormat="1" ht="15">
      <c r="A15" s="68" t="s">
        <v>169</v>
      </c>
    </row>
    <row r="16" ht="15">
      <c r="A16" s="68" t="s">
        <v>184</v>
      </c>
    </row>
    <row r="36"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AN40"/>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H5" sqref="AH5"/>
    </sheetView>
  </sheetViews>
  <sheetFormatPr defaultColWidth="9.140625" defaultRowHeight="12.75" outlineLevelCol="1"/>
  <cols>
    <col min="1" max="1" width="2.00390625" style="23" customWidth="1"/>
    <col min="2" max="2" width="2.28125" style="34" customWidth="1"/>
    <col min="3" max="3" width="53.140625" style="23" customWidth="1"/>
    <col min="4" max="4" width="8.57421875" style="126" hidden="1" customWidth="1" outlineLevel="1"/>
    <col min="5" max="5" width="8.57421875" style="121" hidden="1" customWidth="1" outlineLevel="1"/>
    <col min="6" max="8" width="9.57421875" style="121" hidden="1" customWidth="1" outlineLevel="1"/>
    <col min="9" max="9" width="2.57421875" style="121" hidden="1" customWidth="1" outlineLevel="1"/>
    <col min="10" max="18" width="8.57421875" style="121" hidden="1" customWidth="1" outlineLevel="1"/>
    <col min="19"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1" bestFit="1" customWidth="1"/>
    <col min="27" max="27" width="9.140625" style="121" bestFit="1" customWidth="1"/>
    <col min="28" max="28" width="10.28125" style="122" customWidth="1"/>
    <col min="29" max="30" width="9.8515625" style="121" bestFit="1" customWidth="1"/>
    <col min="31" max="31" width="2.421875" style="121" customWidth="1"/>
    <col min="32" max="32" width="9.140625" style="121" bestFit="1" customWidth="1"/>
    <col min="33" max="33" width="9.140625" style="122" bestFit="1" customWidth="1"/>
    <col min="34" max="34" width="6.57421875" style="121" customWidth="1"/>
    <col min="35" max="35" width="9.140625" style="121" hidden="1" customWidth="1"/>
    <col min="36" max="36" width="9.140625" style="122" hidden="1" customWidth="1"/>
    <col min="37" max="37" width="6.57421875" style="121" hidden="1" customWidth="1"/>
    <col min="38" max="16384" width="9.140625" style="23" customWidth="1"/>
  </cols>
  <sheetData>
    <row r="1" spans="1:37" s="42" customFormat="1" ht="20.25">
      <c r="A1" s="41" t="s">
        <v>92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+'1.Highlights'!AC2</f>
        <v>3Q13
vs 
2Q13</v>
      </c>
      <c r="AD2" s="285" t="str">
        <f>+'1.Highlights'!AD2</f>
        <v>3Q13
vs 
3Q12</v>
      </c>
      <c r="AE2" s="74"/>
      <c r="AF2" s="74" t="s">
        <v>442</v>
      </c>
      <c r="AG2" s="74" t="s">
        <v>443</v>
      </c>
      <c r="AH2" s="285" t="s">
        <v>444</v>
      </c>
      <c r="AI2" s="285" t="str">
        <f>'1.Highlights'!AJ2</f>
        <v>1H12</v>
      </c>
      <c r="AJ2" s="285" t="str">
        <f>'1.Highlights'!AK2</f>
        <v>1H13</v>
      </c>
      <c r="AK2" s="285" t="str">
        <f>+'1.Highlights'!AL2</f>
        <v>1H13
vs 
1H12</v>
      </c>
    </row>
    <row r="3" spans="2:37" s="22" customFormat="1" ht="7.5" customHeight="1">
      <c r="B3" s="10"/>
      <c r="D3" s="75"/>
      <c r="E3" s="75"/>
      <c r="F3" s="75"/>
      <c r="G3" s="75"/>
      <c r="H3" s="75"/>
      <c r="I3" s="75"/>
      <c r="J3" s="75"/>
      <c r="K3" s="75"/>
      <c r="L3" s="75"/>
      <c r="M3" s="75"/>
      <c r="N3" s="75"/>
      <c r="O3" s="75"/>
      <c r="P3" s="75"/>
      <c r="Q3" s="75"/>
      <c r="R3" s="75"/>
      <c r="S3" s="75"/>
      <c r="T3" s="75"/>
      <c r="U3" s="75"/>
      <c r="V3" s="75"/>
      <c r="W3" s="75"/>
      <c r="X3" s="75"/>
      <c r="Y3" s="75"/>
      <c r="Z3" s="75"/>
      <c r="AA3" s="75"/>
      <c r="AB3" s="119"/>
      <c r="AC3" s="75"/>
      <c r="AD3" s="75"/>
      <c r="AE3" s="75"/>
      <c r="AF3" s="75"/>
      <c r="AG3" s="119"/>
      <c r="AH3" s="75"/>
      <c r="AI3" s="121"/>
      <c r="AJ3" s="122"/>
      <c r="AK3" s="121"/>
    </row>
    <row r="4" spans="1:37" s="18" customFormat="1" ht="15">
      <c r="A4" s="40" t="s">
        <v>317</v>
      </c>
      <c r="D4" s="17"/>
      <c r="E4" s="17"/>
      <c r="F4" s="17"/>
      <c r="G4" s="17"/>
      <c r="H4" s="17"/>
      <c r="I4" s="17"/>
      <c r="J4" s="17"/>
      <c r="K4" s="17"/>
      <c r="L4" s="17"/>
      <c r="M4" s="17"/>
      <c r="N4" s="17"/>
      <c r="O4" s="17"/>
      <c r="P4" s="17"/>
      <c r="Q4" s="17"/>
      <c r="R4" s="17"/>
      <c r="S4" s="17"/>
      <c r="T4" s="17"/>
      <c r="U4" s="17"/>
      <c r="V4" s="17"/>
      <c r="W4" s="17"/>
      <c r="X4" s="17"/>
      <c r="Y4" s="17"/>
      <c r="Z4" s="354"/>
      <c r="AA4" s="354"/>
      <c r="AB4" s="353"/>
      <c r="AC4" s="17"/>
      <c r="AD4" s="17"/>
      <c r="AE4" s="17"/>
      <c r="AF4" s="17"/>
      <c r="AG4" s="141"/>
      <c r="AH4" s="17"/>
      <c r="AI4" s="17"/>
      <c r="AJ4" s="144"/>
      <c r="AK4" s="17"/>
    </row>
    <row r="5" spans="2:37" s="50" customFormat="1" ht="14.25">
      <c r="B5" s="50" t="s">
        <v>146</v>
      </c>
      <c r="D5" s="86">
        <v>1.14</v>
      </c>
      <c r="E5" s="86">
        <v>0.91</v>
      </c>
      <c r="F5" s="86">
        <v>1.15</v>
      </c>
      <c r="G5" s="86">
        <v>1.3</v>
      </c>
      <c r="H5" s="128">
        <v>1.39</v>
      </c>
      <c r="I5" s="86"/>
      <c r="J5" s="86">
        <v>0.85</v>
      </c>
      <c r="K5" s="86">
        <v>0.96</v>
      </c>
      <c r="L5" s="86">
        <v>0.98</v>
      </c>
      <c r="M5" s="86">
        <v>0.85</v>
      </c>
      <c r="N5" s="86">
        <v>0.92</v>
      </c>
      <c r="O5" s="86">
        <v>1.25</v>
      </c>
      <c r="P5" s="86">
        <v>1.25</v>
      </c>
      <c r="Q5" s="86">
        <v>1.16</v>
      </c>
      <c r="R5" s="86">
        <v>1.41</v>
      </c>
      <c r="S5" s="128">
        <v>1.26</v>
      </c>
      <c r="T5" s="128">
        <v>1.28</v>
      </c>
      <c r="U5" s="128">
        <v>1.23</v>
      </c>
      <c r="V5" s="128">
        <v>1.58</v>
      </c>
      <c r="W5" s="128">
        <v>1.34</v>
      </c>
      <c r="X5" s="128">
        <v>1.4</v>
      </c>
      <c r="Y5" s="128">
        <v>1.24</v>
      </c>
      <c r="Z5" s="128">
        <v>1.58</v>
      </c>
      <c r="AA5" s="128">
        <v>1.46</v>
      </c>
      <c r="AB5" s="405">
        <v>1.4</v>
      </c>
      <c r="AC5" s="121">
        <f>IF(AND(AB5=0,AB5=0),0,IF(OR(AND(AB5&gt;0,AA5&lt;=0),AND(AB5&lt;0,AA5&gt;=0)),"nm",IF(AND(AB5&lt;0,AA5&lt;0),IF(-(AB5/AA5-1)*100&lt;-100,"(&gt;100)",-(AB5/AA5-1)*100),IF((AB5/AA5-1)*100&gt;100,"&gt;100",(AB5/AA5-1)*100))))</f>
        <v>-4.109589041095896</v>
      </c>
      <c r="AD5" s="121">
        <f>IF(AND(AB5=0,X5=0),0,IF(OR(AND(AB5&gt;0,X5&lt;=0),AND(AB5&lt;0,X5&gt;=0)),"nm",IF(AND(AB5&lt;0,X5&lt;0),IF(-(AB5/X5-1)*100&lt;-100,"(&gt;100)",-(AB5/X5-1)*100),IF((AB5/X5-1)*100&gt;100,"&gt;100",(AB5/X5-1)*100))))</f>
        <v>0</v>
      </c>
      <c r="AE5" s="128"/>
      <c r="AF5" s="128">
        <v>1.44</v>
      </c>
      <c r="AG5" s="405">
        <v>1.48</v>
      </c>
      <c r="AH5" s="121">
        <f>IF(AND(AG5=0,AF5=0),0,IF(OR(AND(AG5&gt;0,AF5&lt;=0),AND(AG5&lt;0,AF5&gt;=0)),"nm",IF(AND(AG5&lt;0,AF5&lt;0),IF(-(AG5/AF5-1)*100&lt;-100,"(&gt;100)",-(AG5/AF5-1)*100),IF((AG5/AF5-1)*100&gt;100,"&gt;100",(AG5/AF5-1)*100))))</f>
        <v>2.77777777777779</v>
      </c>
      <c r="AI5" s="128">
        <v>1.46</v>
      </c>
      <c r="AJ5" s="405">
        <v>1.52</v>
      </c>
      <c r="AK5" s="121">
        <f>IF(AND(AJ5=0,AI5=0),0,IF(OR(AND(AJ5&gt;0,AI5&lt;=0),AND(AJ5&lt;0,AI5&gt;=0)),"nm",IF(AND(AJ5&lt;0,AI5&lt;0),IF(-(AJ5/AI5-1)*100&lt;-100,"(&gt;100)",-(AJ5/AI5-1)*100),IF((AJ5/AI5-1)*100&gt;100,"&gt;100",(AJ5/AI5-1)*100))))</f>
        <v>4.109589041095885</v>
      </c>
    </row>
    <row r="6" spans="2:37" s="50" customFormat="1" ht="14.25">
      <c r="B6" s="50" t="s">
        <v>147</v>
      </c>
      <c r="D6" s="86">
        <v>1.07</v>
      </c>
      <c r="E6" s="86">
        <v>0.9</v>
      </c>
      <c r="F6" s="86">
        <v>0.7</v>
      </c>
      <c r="G6" s="86">
        <v>1.3</v>
      </c>
      <c r="H6" s="128">
        <v>1.57</v>
      </c>
      <c r="I6" s="86"/>
      <c r="J6" s="86">
        <v>0.84</v>
      </c>
      <c r="K6" s="86">
        <v>0.96</v>
      </c>
      <c r="L6" s="86">
        <v>0.98</v>
      </c>
      <c r="M6" s="86">
        <v>0.85</v>
      </c>
      <c r="N6" s="86">
        <v>0.92</v>
      </c>
      <c r="O6" s="86">
        <v>0.8</v>
      </c>
      <c r="P6" s="86">
        <v>1.25</v>
      </c>
      <c r="Q6" s="86">
        <v>1.16</v>
      </c>
      <c r="R6" s="86">
        <v>1.41</v>
      </c>
      <c r="S6" s="128">
        <v>1.26</v>
      </c>
      <c r="T6" s="128">
        <v>1.28</v>
      </c>
      <c r="U6" s="128">
        <v>1.23</v>
      </c>
      <c r="V6" s="128">
        <v>1.58</v>
      </c>
      <c r="W6" s="128">
        <v>1.34</v>
      </c>
      <c r="X6" s="128">
        <v>1.4</v>
      </c>
      <c r="Y6" s="128">
        <v>1.42</v>
      </c>
      <c r="Z6" s="128">
        <v>1.58</v>
      </c>
      <c r="AA6" s="128">
        <v>1.46</v>
      </c>
      <c r="AB6" s="405">
        <v>1.4</v>
      </c>
      <c r="AC6" s="121">
        <f>IF(AND(AB6=0,AB6=0),0,IF(OR(AND(AB6&gt;0,AA6&lt;=0),AND(AB6&lt;0,AA6&gt;=0)),"nm",IF(AND(AB6&lt;0,AA6&lt;0),IF(-(AB6/AA6-1)*100&lt;-100,"(&gt;100)",-(AB6/AA6-1)*100),IF((AB6/AA6-1)*100&gt;100,"&gt;100",(AB6/AA6-1)*100))))</f>
        <v>-4.109589041095896</v>
      </c>
      <c r="AD6" s="121">
        <f>IF(AND(AB6=0,X6=0),0,IF(OR(AND(AB6&gt;0,X6&lt;=0),AND(AB6&lt;0,X6&gt;=0)),"nm",IF(AND(AB6&lt;0,X6&lt;0),IF(-(AB6/X6-1)*100&lt;-100,"(&gt;100)",-(AB6/X6-1)*100),IF((AB6/X6-1)*100&gt;100,"&gt;100",(AB6/X6-1)*100))))</f>
        <v>0</v>
      </c>
      <c r="AE6" s="128"/>
      <c r="AF6" s="128">
        <v>1.44</v>
      </c>
      <c r="AG6" s="405">
        <v>1.48</v>
      </c>
      <c r="AH6" s="121">
        <f>IF(AND(AG6=0,AF6=0),0,IF(OR(AND(AG6&gt;0,AF6&lt;=0),AND(AG6&lt;0,AF6&gt;=0)),"nm",IF(AND(AG6&lt;0,AF6&lt;0),IF(-(AG6/AF6-1)*100&lt;-100,"(&gt;100)",-(AG6/AF6-1)*100),IF((AG6/AF6-1)*100&gt;100,"&gt;100",(AG6/AF6-1)*100))))</f>
        <v>2.77777777777779</v>
      </c>
      <c r="AI6" s="128">
        <v>1.46</v>
      </c>
      <c r="AJ6" s="405">
        <v>1.52</v>
      </c>
      <c r="AK6" s="121">
        <f>IF(AND(AJ6=0,AI6=0),0,IF(OR(AND(AJ6&gt;0,AI6&lt;=0),AND(AJ6&lt;0,AI6&gt;=0)),"nm",IF(AND(AJ6&lt;0,AI6&lt;0),IF(-(AJ6/AI6-1)*100&lt;-100,"(&gt;100)",-(AJ6/AI6-1)*100),IF((AJ6/AI6-1)*100&gt;100,"&gt;100",(AJ6/AI6-1)*100))))</f>
        <v>4.109589041095885</v>
      </c>
    </row>
    <row r="7" spans="2:37" s="317" customFormat="1" ht="14.25">
      <c r="B7" s="317" t="s">
        <v>52</v>
      </c>
      <c r="D7" s="128">
        <v>10.25</v>
      </c>
      <c r="E7" s="128">
        <v>10.85</v>
      </c>
      <c r="F7" s="128">
        <v>11.25</v>
      </c>
      <c r="G7" s="128">
        <v>11.77</v>
      </c>
      <c r="H7" s="128">
        <v>12.96</v>
      </c>
      <c r="I7" s="128"/>
      <c r="J7" s="128">
        <v>10.27</v>
      </c>
      <c r="K7" s="128">
        <v>10.45</v>
      </c>
      <c r="L7" s="128">
        <v>10.76</v>
      </c>
      <c r="M7" s="128">
        <v>10.85</v>
      </c>
      <c r="N7" s="128">
        <v>11.2</v>
      </c>
      <c r="O7" s="128">
        <v>10.88</v>
      </c>
      <c r="P7" s="128">
        <v>11.18</v>
      </c>
      <c r="Q7" s="128">
        <v>11.25</v>
      </c>
      <c r="R7" s="128">
        <v>11.61</v>
      </c>
      <c r="S7" s="128">
        <v>11.69</v>
      </c>
      <c r="T7" s="128">
        <v>11.77</v>
      </c>
      <c r="U7" s="128">
        <v>11.99</v>
      </c>
      <c r="V7" s="128">
        <v>12.28</v>
      </c>
      <c r="W7" s="128">
        <v>12.36</v>
      </c>
      <c r="X7" s="128">
        <v>12.5</v>
      </c>
      <c r="Y7" s="128">
        <v>12.96</v>
      </c>
      <c r="Z7" s="128">
        <v>13.35</v>
      </c>
      <c r="AA7" s="128">
        <f>AA28/AA32</f>
        <v>13.212034383954155</v>
      </c>
      <c r="AB7" s="405">
        <f>AB28/AB32</f>
        <v>13.255103822892691</v>
      </c>
      <c r="AC7" s="121">
        <f>IF(AND(AB7=0,AB7=0),0,IF(OR(AND(AB7&gt;0,AA7&lt;=0),AND(AB7&lt;0,AA7&gt;=0)),"nm",IF(AND(AB7&lt;0,AA7&lt;0),IF(-(AB7/AA7-1)*100&lt;-100,"(&gt;100)",-(AB7/AA7-1)*100),IF((AB7/AA7-1)*100&gt;100,"&gt;100",(AB7/AA7-1)*100))))</f>
        <v>0.32598642788004284</v>
      </c>
      <c r="AD7" s="121">
        <f>IF(AND(AB7=0,X7=0),0,IF(OR(AND(AB7&gt;0,X7&lt;=0),AND(AB7&lt;0,X7&gt;=0)),"nm",IF(AND(AB7&lt;0,X7&lt;0),IF(-(AB7/X7-1)*100&lt;-100,"(&gt;100)",-(AB7/X7-1)*100),IF((AB7/X7-1)*100&gt;100,"&gt;100",(AB7/X7-1)*100))))</f>
        <v>6.040830583141532</v>
      </c>
      <c r="AE7" s="128"/>
      <c r="AF7" s="128">
        <v>12.5</v>
      </c>
      <c r="AG7" s="405">
        <f>AG28/AG32</f>
        <v>13.255103822892691</v>
      </c>
      <c r="AH7" s="121">
        <f>IF(AND(AG7=0,AF7=0),0,IF(OR(AND(AG7&gt;0,AF7&lt;=0),AND(AG7&lt;0,AF7&gt;=0)),"nm",IF(AND(AG7&lt;0,AF7&lt;0),IF(-(AG7/AF7-1)*100&lt;-100,"(&gt;100)",-(AG7/AF7-1)*100),IF((AG7/AF7-1)*100&gt;100,"&gt;100",(AG7/AF7-1)*100))))</f>
        <v>6.040830583141532</v>
      </c>
      <c r="AI7" s="128">
        <v>12.36</v>
      </c>
      <c r="AJ7" s="405">
        <f>AJ28/AJ32</f>
        <v>13.212034383954155</v>
      </c>
      <c r="AK7" s="121">
        <f>IF(AND(AJ7=0,AI7=0),0,IF(OR(AND(AJ7&gt;0,AI7&lt;=0),AND(AJ7&lt;0,AI7&gt;=0)),"nm",IF(AND(AJ7&lt;0,AI7&lt;0),IF(-(AJ7/AI7-1)*100&lt;-100,"(&gt;100)",-(AJ7/AI7-1)*100),IF((AJ7/AI7-1)*100&gt;100,"&gt;100",(AJ7/AI7-1)*100))))</f>
        <v>6.8934820708264954</v>
      </c>
    </row>
    <row r="8" spans="2:37" s="50" customFormat="1" ht="14.25">
      <c r="B8" s="50" t="s">
        <v>59</v>
      </c>
      <c r="D8" s="86">
        <v>0.65</v>
      </c>
      <c r="E8" s="86">
        <v>0.56</v>
      </c>
      <c r="F8" s="86">
        <v>0.56</v>
      </c>
      <c r="G8" s="86">
        <v>0.56</v>
      </c>
      <c r="H8" s="128">
        <v>0.28</v>
      </c>
      <c r="I8" s="86"/>
      <c r="J8" s="86">
        <v>0.14</v>
      </c>
      <c r="K8" s="86">
        <v>0.14</v>
      </c>
      <c r="L8" s="86">
        <v>0.14</v>
      </c>
      <c r="M8" s="86">
        <v>0.14</v>
      </c>
      <c r="N8" s="86">
        <v>0.14</v>
      </c>
      <c r="O8" s="86">
        <v>0.14</v>
      </c>
      <c r="P8" s="86">
        <v>0</v>
      </c>
      <c r="Q8" s="86">
        <v>0.28</v>
      </c>
      <c r="R8" s="86">
        <v>0</v>
      </c>
      <c r="S8" s="128">
        <v>0.28</v>
      </c>
      <c r="T8" s="128">
        <v>0</v>
      </c>
      <c r="U8" s="128">
        <v>0.28</v>
      </c>
      <c r="V8" s="128">
        <v>0</v>
      </c>
      <c r="W8" s="128">
        <v>0.28</v>
      </c>
      <c r="X8" s="128">
        <v>0</v>
      </c>
      <c r="Y8" s="128">
        <v>0.28</v>
      </c>
      <c r="Z8" s="128">
        <v>0</v>
      </c>
      <c r="AA8" s="492">
        <v>0.28</v>
      </c>
      <c r="AB8" s="405">
        <v>0</v>
      </c>
      <c r="AC8" s="121">
        <f>IF(AND(AB8=0,AB8=0),0,IF(OR(AND(AB8&gt;0,AA8&lt;=0),AND(AB8&lt;0,AA8&gt;=0)),"nm",IF(AND(AB8&lt;0,AA8&lt;0),IF(-(AB8/AA8-1)*100&lt;-100,"(&gt;100)",-(AB8/AA8-1)*100),IF((AB8/AA8-1)*100&gt;100,"&gt;100",(AB8/AA8-1)*100))))</f>
        <v>0</v>
      </c>
      <c r="AD8" s="121">
        <f>IF(AND(AB8=0,X8=0),0,IF(OR(AND(AB8&gt;0,X8&lt;=0),AND(AB8&lt;0,X8&gt;=0)),"nm",IF(AND(AB8&lt;0,X8&lt;0),IF(-(AB8/X8-1)*100&lt;-100,"(&gt;100)",-(AB8/X8-1)*100),IF((AB8/X8-1)*100&gt;100,"&gt;100",(AB8/X8-1)*100))))</f>
        <v>0</v>
      </c>
      <c r="AE8" s="128"/>
      <c r="AF8" s="128">
        <v>0.28</v>
      </c>
      <c r="AG8" s="405">
        <v>0.28</v>
      </c>
      <c r="AH8" s="121">
        <f>IF(AND(AG8=0,AF8=0),0,IF(OR(AND(AG8&gt;0,AF8&lt;=0),AND(AG8&lt;0,AF8&gt;=0)),"nm",IF(AND(AG8&lt;0,AF8&lt;0),IF(-(AG8/AF8-1)*100&lt;-100,"(&gt;100)",-(AG8/AF8-1)*100),IF((AG8/AF8-1)*100&gt;100,"&gt;100",(AG8/AF8-1)*100))))</f>
        <v>0</v>
      </c>
      <c r="AI8" s="128">
        <v>0.28</v>
      </c>
      <c r="AJ8" s="405">
        <v>0.28</v>
      </c>
      <c r="AK8" s="121">
        <f>IF(AND(AJ8=0,AI8=0),0,IF(OR(AND(AJ8&gt;0,AI8&lt;=0),AND(AJ8&lt;0,AI8&gt;=0)),"nm",IF(AND(AJ8&lt;0,AI8&lt;0),IF(-(AJ8/AI8-1)*100&lt;-100,"(&gt;100)",-(AJ8/AI8-1)*100),IF((AJ8/AI8-1)*100&gt;100,"&gt;100",(AJ8/AI8-1)*100))))</f>
        <v>0</v>
      </c>
    </row>
    <row r="9" spans="4:37" s="50" customFormat="1" ht="14.25">
      <c r="D9" s="86"/>
      <c r="E9" s="86"/>
      <c r="F9" s="86"/>
      <c r="G9" s="86"/>
      <c r="H9" s="128"/>
      <c r="I9" s="86"/>
      <c r="J9" s="86"/>
      <c r="K9" s="86"/>
      <c r="L9" s="86"/>
      <c r="M9" s="86"/>
      <c r="N9" s="86"/>
      <c r="O9" s="86"/>
      <c r="P9" s="86"/>
      <c r="Q9" s="86"/>
      <c r="R9" s="86"/>
      <c r="S9" s="128"/>
      <c r="T9" s="128"/>
      <c r="U9" s="128"/>
      <c r="V9" s="128"/>
      <c r="W9" s="128"/>
      <c r="X9" s="128"/>
      <c r="Y9" s="128"/>
      <c r="Z9" s="434"/>
      <c r="AA9" s="493"/>
      <c r="AB9" s="405"/>
      <c r="AC9" s="121"/>
      <c r="AD9" s="121"/>
      <c r="AE9" s="128"/>
      <c r="AF9" s="128"/>
      <c r="AG9" s="405"/>
      <c r="AH9" s="121"/>
      <c r="AI9" s="128"/>
      <c r="AJ9" s="459"/>
      <c r="AK9" s="121"/>
    </row>
    <row r="10" spans="1:37" s="53" customFormat="1" ht="15">
      <c r="A10" s="52" t="s">
        <v>318</v>
      </c>
      <c r="D10" s="55"/>
      <c r="E10" s="55"/>
      <c r="F10" s="55"/>
      <c r="G10" s="55"/>
      <c r="H10" s="55"/>
      <c r="I10" s="55"/>
      <c r="J10" s="55"/>
      <c r="K10" s="55"/>
      <c r="L10" s="55"/>
      <c r="M10" s="55"/>
      <c r="N10" s="55"/>
      <c r="O10" s="55"/>
      <c r="P10" s="55"/>
      <c r="Q10" s="55"/>
      <c r="R10" s="55"/>
      <c r="S10" s="55"/>
      <c r="T10" s="55"/>
      <c r="U10" s="55"/>
      <c r="V10" s="55"/>
      <c r="W10" s="55"/>
      <c r="X10" s="55"/>
      <c r="Y10" s="55"/>
      <c r="Z10" s="435"/>
      <c r="AA10" s="494"/>
      <c r="AB10" s="546"/>
      <c r="AC10" s="17"/>
      <c r="AD10" s="17"/>
      <c r="AE10" s="55"/>
      <c r="AF10" s="55"/>
      <c r="AG10" s="546"/>
      <c r="AH10" s="17"/>
      <c r="AI10" s="55"/>
      <c r="AJ10" s="460"/>
      <c r="AK10" s="17"/>
    </row>
    <row r="11" spans="2:40" s="50" customFormat="1" ht="14.25">
      <c r="B11" s="50" t="s">
        <v>146</v>
      </c>
      <c r="C11" s="317"/>
      <c r="D11" s="128">
        <v>1.1</v>
      </c>
      <c r="E11" s="128">
        <v>0.88</v>
      </c>
      <c r="F11" s="128">
        <v>1.11</v>
      </c>
      <c r="G11" s="128">
        <v>1.26</v>
      </c>
      <c r="H11" s="128">
        <v>1.37</v>
      </c>
      <c r="I11" s="128"/>
      <c r="J11" s="128">
        <v>0.83</v>
      </c>
      <c r="K11" s="128">
        <v>0.93</v>
      </c>
      <c r="L11" s="128">
        <v>0.95</v>
      </c>
      <c r="M11" s="128">
        <v>0.83</v>
      </c>
      <c r="N11" s="128">
        <v>0.89</v>
      </c>
      <c r="O11" s="128">
        <v>1.2</v>
      </c>
      <c r="P11" s="128">
        <v>1.2</v>
      </c>
      <c r="Q11" s="128">
        <v>1.13</v>
      </c>
      <c r="R11" s="128">
        <v>1.36</v>
      </c>
      <c r="S11" s="128">
        <v>1.21</v>
      </c>
      <c r="T11" s="128">
        <v>1.24</v>
      </c>
      <c r="U11" s="128">
        <v>1.19</v>
      </c>
      <c r="V11" s="128">
        <v>1.56</v>
      </c>
      <c r="W11" s="128">
        <v>1.33</v>
      </c>
      <c r="X11" s="128">
        <v>1.38</v>
      </c>
      <c r="Y11" s="128">
        <v>1.22</v>
      </c>
      <c r="Z11" s="128">
        <v>1.56</v>
      </c>
      <c r="AA11" s="128">
        <v>1.44</v>
      </c>
      <c r="AB11" s="405">
        <v>1.38</v>
      </c>
      <c r="AC11" s="121">
        <f>IF(AND(AB11=0,AB11=0),0,IF(OR(AND(AB11&gt;0,AA11&lt;=0),AND(AB11&lt;0,AA11&gt;=0)),"nm",IF(AND(AB11&lt;0,AA11&lt;0),IF(-(AB11/AA11-1)*100&lt;-100,"(&gt;100)",-(AB11/AA11-1)*100),IF((AB11/AA11-1)*100&gt;100,"&gt;100",(AB11/AA11-1)*100))))</f>
        <v>-4.166666666666674</v>
      </c>
      <c r="AD11" s="121">
        <f>IF(AND(AB11=0,X11=0),0,IF(OR(AND(AB11&gt;0,X11&lt;=0),AND(AB11&lt;0,X11&gt;=0)),"nm",IF(AND(AB11&lt;0,X11&lt;0),IF(-(AB11/X11-1)*100&lt;-100,"(&gt;100)",-(AB11/X11-1)*100),IF((AB11/X11-1)*100&gt;100,"&gt;100",(AB11/X11-1)*100))))</f>
        <v>0</v>
      </c>
      <c r="AE11" s="128"/>
      <c r="AF11" s="128">
        <v>1.42</v>
      </c>
      <c r="AG11" s="405">
        <v>1.46</v>
      </c>
      <c r="AH11" s="121">
        <f>IF(AND(AG11=0,AF11=0),0,IF(OR(AND(AG11&gt;0,AF11&lt;=0),AND(AG11&lt;0,AF11&gt;=0)),"nm",IF(AND(AG11&lt;0,AF11&lt;0),IF(-(AG11/AF11-1)*100&lt;-100,"(&gt;100)",-(AG11/AF11-1)*100),IF((AG11/AF11-1)*100&gt;100,"&gt;100",(AG11/AF11-1)*100))))</f>
        <v>2.8169014084507005</v>
      </c>
      <c r="AI11" s="128">
        <v>1.45</v>
      </c>
      <c r="AJ11" s="405">
        <v>1.5</v>
      </c>
      <c r="AK11" s="121">
        <f>IF(AND(AJ11=0,AI11=0),0,IF(OR(AND(AJ11&gt;0,AI11&lt;=0),AND(AJ11&lt;0,AI11&gt;=0)),"nm",IF(AND(AJ11&lt;0,AI11&lt;0),IF(-(AJ11/AI11-1)*100&lt;-100,"(&gt;100)",-(AJ11/AI11-1)*100),IF((AJ11/AI11-1)*100&gt;100,"&gt;100",(AJ11/AI11-1)*100))))</f>
        <v>3.4482758620689724</v>
      </c>
      <c r="AL11" s="317"/>
      <c r="AM11" s="317"/>
      <c r="AN11" s="317"/>
    </row>
    <row r="12" spans="2:40" s="50" customFormat="1" ht="14.25">
      <c r="B12" s="50" t="s">
        <v>147</v>
      </c>
      <c r="C12" s="317"/>
      <c r="D12" s="128">
        <v>1.04</v>
      </c>
      <c r="E12" s="128">
        <v>0.87</v>
      </c>
      <c r="F12" s="128">
        <v>0.68</v>
      </c>
      <c r="G12" s="128">
        <v>1.26</v>
      </c>
      <c r="H12" s="128">
        <v>1.56</v>
      </c>
      <c r="I12" s="128"/>
      <c r="J12" s="128">
        <v>0.82</v>
      </c>
      <c r="K12" s="128">
        <v>0.93</v>
      </c>
      <c r="L12" s="128">
        <v>0.95</v>
      </c>
      <c r="M12" s="128">
        <v>0.83</v>
      </c>
      <c r="N12" s="128">
        <v>0.89</v>
      </c>
      <c r="O12" s="128">
        <v>0.78</v>
      </c>
      <c r="P12" s="128">
        <v>1.2</v>
      </c>
      <c r="Q12" s="128">
        <v>1.13</v>
      </c>
      <c r="R12" s="128">
        <v>1.36</v>
      </c>
      <c r="S12" s="128">
        <v>1.21</v>
      </c>
      <c r="T12" s="128">
        <v>1.24</v>
      </c>
      <c r="U12" s="128">
        <v>1.19</v>
      </c>
      <c r="V12" s="128">
        <v>1.56</v>
      </c>
      <c r="W12" s="128">
        <v>1.33</v>
      </c>
      <c r="X12" s="128">
        <v>1.38</v>
      </c>
      <c r="Y12" s="128">
        <v>1.41</v>
      </c>
      <c r="Z12" s="128">
        <v>1.56</v>
      </c>
      <c r="AA12" s="128">
        <v>1.44</v>
      </c>
      <c r="AB12" s="405">
        <v>1.38</v>
      </c>
      <c r="AC12" s="121">
        <f>IF(AND(AB12=0,AB12=0),0,IF(OR(AND(AB12&gt;0,AA12&lt;=0),AND(AB12&lt;0,AA12&gt;=0)),"nm",IF(AND(AB12&lt;0,AA12&lt;0),IF(-(AB12/AA12-1)*100&lt;-100,"(&gt;100)",-(AB12/AA12-1)*100),IF((AB12/AA12-1)*100&gt;100,"&gt;100",(AB12/AA12-1)*100))))</f>
        <v>-4.166666666666674</v>
      </c>
      <c r="AD12" s="121">
        <f>IF(AND(AB12=0,X12=0),0,IF(OR(AND(AB12&gt;0,X12&lt;=0),AND(AB12&lt;0,X12&gt;=0)),"nm",IF(AND(AB12&lt;0,X12&lt;0),IF(-(AB12/X12-1)*100&lt;-100,"(&gt;100)",-(AB12/X12-1)*100),IF((AB12/X12-1)*100&gt;100,"&gt;100",(AB12/X12-1)*100))))</f>
        <v>0</v>
      </c>
      <c r="AE12" s="128"/>
      <c r="AF12" s="128">
        <v>1.42</v>
      </c>
      <c r="AG12" s="405">
        <v>1.46</v>
      </c>
      <c r="AH12" s="121">
        <f>IF(AND(AG12=0,AF12=0),0,IF(OR(AND(AG12&gt;0,AF12&lt;=0),AND(AG12&lt;0,AF12&gt;=0)),"nm",IF(AND(AG12&lt;0,AF12&lt;0),IF(-(AG12/AF12-1)*100&lt;-100,"(&gt;100)",-(AG12/AF12-1)*100),IF((AG12/AF12-1)*100&gt;100,"&gt;100",(AG12/AF12-1)*100))))</f>
        <v>2.8169014084507005</v>
      </c>
      <c r="AI12" s="128">
        <v>1.45</v>
      </c>
      <c r="AJ12" s="405">
        <v>1.5</v>
      </c>
      <c r="AK12" s="121">
        <f>IF(AND(AJ12=0,AI12=0),0,IF(OR(AND(AJ12&gt;0,AI12&lt;=0),AND(AJ12&lt;0,AI12&gt;=0)),"nm",IF(AND(AJ12&lt;0,AI12&lt;0),IF(-(AJ12/AI12-1)*100&lt;-100,"(&gt;100)",-(AJ12/AI12-1)*100),IF((AJ12/AI12-1)*100&gt;100,"&gt;100",(AJ12/AI12-1)*100))))</f>
        <v>3.4482758620689724</v>
      </c>
      <c r="AL12" s="317"/>
      <c r="AM12" s="317"/>
      <c r="AN12" s="317"/>
    </row>
    <row r="13" spans="2:37" s="317" customFormat="1" ht="14.25">
      <c r="B13" s="317" t="s">
        <v>52</v>
      </c>
      <c r="D13" s="128">
        <v>10.14</v>
      </c>
      <c r="E13" s="128">
        <v>10.65</v>
      </c>
      <c r="F13" s="128">
        <v>11.04</v>
      </c>
      <c r="G13" s="128">
        <v>11.75</v>
      </c>
      <c r="H13" s="128">
        <v>12.86</v>
      </c>
      <c r="I13" s="128"/>
      <c r="J13" s="128">
        <v>10.1</v>
      </c>
      <c r="K13" s="128">
        <v>10.27</v>
      </c>
      <c r="L13" s="128">
        <v>10.57</v>
      </c>
      <c r="M13" s="128">
        <v>10.65</v>
      </c>
      <c r="N13" s="128">
        <v>10.99</v>
      </c>
      <c r="O13" s="128">
        <v>10.68</v>
      </c>
      <c r="P13" s="128">
        <v>10.97</v>
      </c>
      <c r="Q13" s="128">
        <v>11.04</v>
      </c>
      <c r="R13" s="128">
        <v>11.39</v>
      </c>
      <c r="S13" s="128">
        <v>11.47</v>
      </c>
      <c r="T13" s="128">
        <v>11.54</v>
      </c>
      <c r="U13" s="128">
        <v>11.75</v>
      </c>
      <c r="V13" s="128">
        <v>12.19</v>
      </c>
      <c r="W13" s="128">
        <v>12.27</v>
      </c>
      <c r="X13" s="128">
        <v>12.41</v>
      </c>
      <c r="Y13" s="128">
        <v>12.86</v>
      </c>
      <c r="Z13" s="128">
        <v>13.25</v>
      </c>
      <c r="AA13" s="128">
        <f>AA29/AA33</f>
        <v>13.115151515151515</v>
      </c>
      <c r="AB13" s="405">
        <f>AB29/AB33</f>
        <v>13.157448526443279</v>
      </c>
      <c r="AC13" s="121">
        <f>IF(AND(AB13=0,AB13=0),0,IF(OR(AND(AB13&gt;0,AA13&lt;=0),AND(AB13&lt;0,AA13&gt;=0)),"nm",IF(AND(AB13&lt;0,AA13&lt;0),IF(-(AB13/AA13-1)*100&lt;-100,"(&gt;100)",-(AB13/AA13-1)*100),IF((AB13/AA13-1)*100&gt;100,"&gt;100",(AB13/AA13-1)*100))))</f>
        <v>0.3225049382227896</v>
      </c>
      <c r="AD13" s="121">
        <f>IF(AND(AB13=0,X13=0),0,IF(OR(AND(AB13&gt;0,X13&lt;=0),AND(AB13&lt;0,X13&gt;=0)),"nm",IF(AND(AB13&lt;0,X13&lt;0),IF(-(AB13/X13-1)*100&lt;-100,"(&gt;100)",-(AB13/X13-1)*100),IF((AB13/X13-1)*100&gt;100,"&gt;100",(AB13/X13-1)*100))))</f>
        <v>6.022953476577597</v>
      </c>
      <c r="AE13" s="128"/>
      <c r="AF13" s="128">
        <v>12.41</v>
      </c>
      <c r="AG13" s="405">
        <f>AG29/AG33</f>
        <v>13.157448526443279</v>
      </c>
      <c r="AH13" s="121">
        <f>IF(AND(AG13=0,AF13=0),0,IF(OR(AND(AG13&gt;0,AF13&lt;=0),AND(AG13&lt;0,AF13&gt;=0)),"nm",IF(AND(AG13&lt;0,AF13&lt;0),IF(-(AG13/AF13-1)*100&lt;-100,"(&gt;100)",-(AG13/AF13-1)*100),IF((AG13/AF13-1)*100&gt;100,"&gt;100",(AG13/AF13-1)*100))))</f>
        <v>6.022953476577597</v>
      </c>
      <c r="AI13" s="128">
        <v>12.27</v>
      </c>
      <c r="AJ13" s="405">
        <f>AJ29/AJ33</f>
        <v>13.115151515151515</v>
      </c>
      <c r="AK13" s="121">
        <f>IF(AND(AJ13=0,AI13=0),0,IF(OR(AND(AJ13&gt;0,AI13&lt;=0),AND(AJ13&lt;0,AI13&gt;=0)),"nm",IF(AND(AJ13&lt;0,AI13&lt;0),IF(-(AJ13/AI13-1)*100&lt;-100,"(&gt;100)",-(AJ13/AI13-1)*100),IF((AJ13/AI13-1)*100&gt;100,"&gt;100",(AJ13/AI13-1)*100))))</f>
        <v>6.887950408732801</v>
      </c>
    </row>
    <row r="14" spans="2:40" s="22" customFormat="1" ht="14.25">
      <c r="B14" s="35"/>
      <c r="C14" s="20"/>
      <c r="D14" s="121"/>
      <c r="E14" s="121"/>
      <c r="F14" s="121"/>
      <c r="G14" s="121"/>
      <c r="H14" s="121"/>
      <c r="I14" s="121"/>
      <c r="J14" s="121"/>
      <c r="K14" s="121"/>
      <c r="L14" s="121"/>
      <c r="M14" s="121"/>
      <c r="N14" s="121"/>
      <c r="O14" s="121"/>
      <c r="P14" s="121"/>
      <c r="Q14" s="121"/>
      <c r="R14" s="121"/>
      <c r="S14" s="121"/>
      <c r="T14" s="121"/>
      <c r="U14" s="121"/>
      <c r="V14" s="121"/>
      <c r="W14" s="121"/>
      <c r="X14" s="121"/>
      <c r="Y14" s="121"/>
      <c r="Z14" s="436"/>
      <c r="AA14" s="171"/>
      <c r="AB14" s="122"/>
      <c r="AC14" s="121"/>
      <c r="AD14" s="121"/>
      <c r="AE14" s="121"/>
      <c r="AF14" s="121"/>
      <c r="AG14" s="489"/>
      <c r="AH14" s="121"/>
      <c r="AI14" s="121"/>
      <c r="AJ14" s="461"/>
      <c r="AK14" s="121"/>
      <c r="AL14" s="20"/>
      <c r="AM14" s="20"/>
      <c r="AN14" s="20"/>
    </row>
    <row r="15" spans="1:40" s="22" customFormat="1" ht="15">
      <c r="A15" s="46" t="s">
        <v>315</v>
      </c>
      <c r="B15" s="35"/>
      <c r="C15" s="20"/>
      <c r="D15" s="121"/>
      <c r="E15" s="121"/>
      <c r="F15" s="121"/>
      <c r="G15" s="121"/>
      <c r="H15" s="121"/>
      <c r="I15" s="121"/>
      <c r="J15" s="121"/>
      <c r="K15" s="121"/>
      <c r="L15" s="121"/>
      <c r="M15" s="121"/>
      <c r="N15" s="121"/>
      <c r="O15" s="121"/>
      <c r="P15" s="121"/>
      <c r="Q15" s="121"/>
      <c r="R15" s="121"/>
      <c r="S15" s="121"/>
      <c r="T15" s="121"/>
      <c r="U15" s="121"/>
      <c r="V15" s="121"/>
      <c r="W15" s="121"/>
      <c r="X15" s="121"/>
      <c r="Y15" s="121"/>
      <c r="Z15" s="434"/>
      <c r="AA15" s="495"/>
      <c r="AB15" s="405"/>
      <c r="AC15" s="19"/>
      <c r="AD15" s="19"/>
      <c r="AE15" s="121"/>
      <c r="AF15" s="121"/>
      <c r="AG15" s="489"/>
      <c r="AH15" s="19"/>
      <c r="AI15" s="121"/>
      <c r="AJ15" s="461"/>
      <c r="AK15" s="19"/>
      <c r="AL15" s="20"/>
      <c r="AM15" s="20"/>
      <c r="AN15" s="20"/>
    </row>
    <row r="16" spans="2:37" s="18" customFormat="1" ht="15">
      <c r="B16" s="49" t="s">
        <v>319</v>
      </c>
      <c r="D16" s="17"/>
      <c r="E16" s="17"/>
      <c r="F16" s="17"/>
      <c r="G16" s="17"/>
      <c r="H16" s="17"/>
      <c r="I16" s="17"/>
      <c r="J16" s="17"/>
      <c r="K16" s="17"/>
      <c r="L16" s="17"/>
      <c r="M16" s="17"/>
      <c r="N16" s="17"/>
      <c r="O16" s="17"/>
      <c r="P16" s="17"/>
      <c r="Q16" s="17"/>
      <c r="R16" s="17"/>
      <c r="S16" s="17"/>
      <c r="T16" s="17"/>
      <c r="U16" s="17"/>
      <c r="V16" s="17"/>
      <c r="W16" s="17"/>
      <c r="X16" s="17"/>
      <c r="Y16" s="17"/>
      <c r="Z16" s="437"/>
      <c r="AA16" s="437"/>
      <c r="AB16" s="125"/>
      <c r="AC16" s="17"/>
      <c r="AD16" s="17"/>
      <c r="AE16" s="17"/>
      <c r="AF16" s="17"/>
      <c r="AG16" s="498"/>
      <c r="AH16" s="17"/>
      <c r="AI16" s="17"/>
      <c r="AJ16" s="462"/>
      <c r="AK16" s="17"/>
    </row>
    <row r="17" spans="3:40" s="22" customFormat="1" ht="14.25">
      <c r="C17" s="20" t="s">
        <v>54</v>
      </c>
      <c r="D17" s="121">
        <v>2056</v>
      </c>
      <c r="E17" s="121">
        <v>2064</v>
      </c>
      <c r="F17" s="121">
        <v>2650</v>
      </c>
      <c r="G17" s="121">
        <v>3035</v>
      </c>
      <c r="H17" s="121">
        <v>3359</v>
      </c>
      <c r="I17" s="121"/>
      <c r="J17" s="121">
        <v>456</v>
      </c>
      <c r="K17" s="121">
        <v>552</v>
      </c>
      <c r="L17" s="121">
        <v>563</v>
      </c>
      <c r="M17" s="121">
        <v>493</v>
      </c>
      <c r="N17" s="121">
        <v>532</v>
      </c>
      <c r="O17" s="121">
        <v>718</v>
      </c>
      <c r="P17" s="121">
        <v>722</v>
      </c>
      <c r="Q17" s="121">
        <v>678</v>
      </c>
      <c r="R17" s="121">
        <v>807</v>
      </c>
      <c r="S17" s="121">
        <v>735</v>
      </c>
      <c r="T17" s="121">
        <v>762</v>
      </c>
      <c r="U17" s="121">
        <v>731</v>
      </c>
      <c r="V17" s="121">
        <v>933</v>
      </c>
      <c r="W17" s="121">
        <v>810</v>
      </c>
      <c r="X17" s="121">
        <v>856</v>
      </c>
      <c r="Y17" s="121">
        <v>760</v>
      </c>
      <c r="Z17" s="121">
        <f>'1.Highlights'!Z13</f>
        <v>950</v>
      </c>
      <c r="AA17" s="121">
        <f>'1.Highlights'!AA13</f>
        <v>887</v>
      </c>
      <c r="AB17" s="122">
        <f>'1.Highlights'!AB13</f>
        <v>862</v>
      </c>
      <c r="AC17" s="140">
        <f>IF(AND(AB17=0,AB17=0),0,IF(OR(AND(AB17&gt;0,AA17&lt;=0),AND(AB17&lt;0,AA17&gt;=0)),"nm",IF(AND(AB17&lt;0,AA17&lt;0),IF(-(AB17/AA17-1)*100&lt;-100,"(&gt;100)",-(AB17/AA17-1)*100),IF((AB17/AA17-1)*100&gt;100,"&gt;100",(AB17/AA17-1)*100))))</f>
        <v>-2.8184892897407</v>
      </c>
      <c r="AD17" s="140">
        <f>IF(AND(AB17=0,X17=0),0,IF(OR(AND(AB17&gt;0,X17&lt;=0),AND(AB17&lt;0,X17&gt;=0)),"nm",IF(AND(AB17&lt;0,X17&lt;0),IF(-(AB17/X17-1)*100&lt;-100,"(&gt;100)",-(AB17/X17-1)*100),IF((AB17/X17-1)*100&gt;100,"&gt;100",(AB17/X17-1)*100))))</f>
        <v>0.7009345794392496</v>
      </c>
      <c r="AE17" s="140"/>
      <c r="AF17" s="140">
        <v>2599</v>
      </c>
      <c r="AG17" s="153">
        <f>'1.Highlights'!AG13</f>
        <v>2699</v>
      </c>
      <c r="AH17" s="140">
        <f>IF(AND(AG17=0,AF17=0),0,IF(OR(AND(AG17&gt;0,AF17&lt;=0),AND(AG17&lt;0,AF17&gt;=0)),"nm",IF(AND(AG17&lt;0,AF17&lt;0),IF(-(AG17/AF17-1)*100&lt;-100,"(&gt;100)",-(AG17/AF17-1)*100),IF((AG17/AF17-1)*100&gt;100,"&gt;100",(AG17/AF17-1)*100))))</f>
        <v>3.8476337052712584</v>
      </c>
      <c r="AI17" s="140">
        <v>1743</v>
      </c>
      <c r="AJ17" s="153">
        <v>1837</v>
      </c>
      <c r="AK17" s="140">
        <f>IF(AND(AJ17=0,AI17=0),0,IF(OR(AND(AJ17&gt;0,AI17&lt;=0),AND(AJ17&lt;0,AI17&gt;=0)),"nm",IF(AND(AJ17&lt;0,AI17&lt;0),IF(-(AJ17/AI17-1)*100&lt;-100,"(&gt;100)",-(AJ17/AI17-1)*100),IF((AJ17/AI17-1)*100&gt;100,"&gt;100",(AJ17/AI17-1)*100))))</f>
        <v>5.393000573723472</v>
      </c>
      <c r="AL17" s="20"/>
      <c r="AM17" s="20"/>
      <c r="AN17" s="20"/>
    </row>
    <row r="18" spans="3:40" s="22" customFormat="1" ht="14.25">
      <c r="C18" s="20" t="s">
        <v>55</v>
      </c>
      <c r="D18" s="121">
        <v>1929</v>
      </c>
      <c r="E18" s="121">
        <v>2041</v>
      </c>
      <c r="F18" s="121">
        <v>1632</v>
      </c>
      <c r="G18" s="121">
        <v>3035</v>
      </c>
      <c r="H18" s="121">
        <v>3809</v>
      </c>
      <c r="I18" s="121"/>
      <c r="J18" s="121">
        <v>433</v>
      </c>
      <c r="K18" s="121">
        <v>552</v>
      </c>
      <c r="L18" s="121">
        <v>563</v>
      </c>
      <c r="M18" s="121">
        <v>493</v>
      </c>
      <c r="N18" s="121">
        <v>532</v>
      </c>
      <c r="O18" s="121">
        <v>-300</v>
      </c>
      <c r="P18" s="121">
        <v>722</v>
      </c>
      <c r="Q18" s="121">
        <v>678</v>
      </c>
      <c r="R18" s="121">
        <v>807</v>
      </c>
      <c r="S18" s="121">
        <v>735</v>
      </c>
      <c r="T18" s="121">
        <v>762</v>
      </c>
      <c r="U18" s="121">
        <v>731</v>
      </c>
      <c r="V18" s="121">
        <v>933</v>
      </c>
      <c r="W18" s="121">
        <v>810</v>
      </c>
      <c r="X18" s="121">
        <v>856</v>
      </c>
      <c r="Y18" s="121">
        <v>1210</v>
      </c>
      <c r="Z18" s="121">
        <f>'1.Highlights'!Z16</f>
        <v>950</v>
      </c>
      <c r="AA18" s="121">
        <f>'1.Highlights'!AA16</f>
        <v>887</v>
      </c>
      <c r="AB18" s="122">
        <f>'1.Highlights'!AB16</f>
        <v>862</v>
      </c>
      <c r="AC18" s="140">
        <f>IF(AND(AB18=0,AB18=0),0,IF(OR(AND(AB18&gt;0,AA18&lt;=0),AND(AB18&lt;0,AA18&gt;=0)),"nm",IF(AND(AB18&lt;0,AA18&lt;0),IF(-(AB18/AA18-1)*100&lt;-100,"(&gt;100)",-(AB18/AA18-1)*100),IF((AB18/AA18-1)*100&gt;100,"&gt;100",(AB18/AA18-1)*100))))</f>
        <v>-2.8184892897407</v>
      </c>
      <c r="AD18" s="140">
        <f>IF(AND(AB18=0,X18=0),0,IF(OR(AND(AB18&gt;0,X18&lt;=0),AND(AB18&lt;0,X18&gt;=0)),"nm",IF(AND(AB18&lt;0,X18&lt;0),IF(-(AB18/X18-1)*100&lt;-100,"(&gt;100)",-(AB18/X18-1)*100),IF((AB18/X18-1)*100&gt;100,"&gt;100",(AB18/X18-1)*100))))</f>
        <v>0.7009345794392496</v>
      </c>
      <c r="AE18" s="140"/>
      <c r="AF18" s="140">
        <v>2599</v>
      </c>
      <c r="AG18" s="153">
        <f>'1.Highlights'!AG16</f>
        <v>2699</v>
      </c>
      <c r="AH18" s="140">
        <f>IF(AND(AG18=0,AF18=0),0,IF(OR(AND(AG18&gt;0,AF18&lt;=0),AND(AG18&lt;0,AF18&gt;=0)),"nm",IF(AND(AG18&lt;0,AF18&lt;0),IF(-(AG18/AF18-1)*100&lt;-100,"(&gt;100)",-(AG18/AF18-1)*100),IF((AG18/AF18-1)*100&gt;100,"&gt;100",(AG18/AF18-1)*100))))</f>
        <v>3.8476337052712584</v>
      </c>
      <c r="AI18" s="140">
        <v>1743</v>
      </c>
      <c r="AJ18" s="153">
        <v>1837</v>
      </c>
      <c r="AK18" s="140">
        <f>IF(AND(AJ18=0,AI18=0),0,IF(OR(AND(AJ18&gt;0,AI18&lt;=0),AND(AJ18&lt;0,AI18&gt;=0)),"nm",IF(AND(AJ18&lt;0,AI18&lt;0),IF(-(AJ18/AI18-1)*100&lt;-100,"(&gt;100)",-(AJ18/AI18-1)*100),IF((AJ18/AI18-1)*100&gt;100,"&gt;100",(AJ18/AI18-1)*100))))</f>
        <v>5.393000573723472</v>
      </c>
      <c r="AL18" s="20"/>
      <c r="AM18" s="20"/>
      <c r="AN18" s="20"/>
    </row>
    <row r="19" spans="3:40" s="22" customFormat="1" ht="14.25">
      <c r="C19" s="20"/>
      <c r="D19" s="121"/>
      <c r="E19" s="121"/>
      <c r="F19" s="121"/>
      <c r="G19" s="121"/>
      <c r="H19" s="121"/>
      <c r="I19" s="121"/>
      <c r="J19" s="121"/>
      <c r="K19" s="121"/>
      <c r="L19" s="121"/>
      <c r="M19" s="121"/>
      <c r="N19" s="121"/>
      <c r="O19" s="121"/>
      <c r="P19" s="121"/>
      <c r="Q19" s="121"/>
      <c r="R19" s="121"/>
      <c r="S19" s="121"/>
      <c r="T19" s="121"/>
      <c r="U19" s="121"/>
      <c r="V19" s="121"/>
      <c r="W19" s="121"/>
      <c r="X19" s="121"/>
      <c r="Y19" s="121"/>
      <c r="Z19" s="436"/>
      <c r="AA19" s="165"/>
      <c r="AB19" s="122"/>
      <c r="AC19" s="140"/>
      <c r="AD19" s="140"/>
      <c r="AE19" s="140"/>
      <c r="AF19" s="140"/>
      <c r="AG19" s="153"/>
      <c r="AH19" s="140"/>
      <c r="AI19" s="140"/>
      <c r="AJ19" s="485"/>
      <c r="AK19" s="140"/>
      <c r="AL19" s="20"/>
      <c r="AM19" s="20"/>
      <c r="AN19" s="20"/>
    </row>
    <row r="20" spans="2:40" s="22" customFormat="1" ht="15">
      <c r="B20" s="31" t="s">
        <v>237</v>
      </c>
      <c r="C20" s="20"/>
      <c r="D20" s="121">
        <v>20</v>
      </c>
      <c r="E20" s="121">
        <v>29</v>
      </c>
      <c r="F20" s="121">
        <v>28</v>
      </c>
      <c r="G20" s="121">
        <v>28</v>
      </c>
      <c r="H20" s="121">
        <v>8</v>
      </c>
      <c r="I20" s="121"/>
      <c r="J20" s="121">
        <v>7</v>
      </c>
      <c r="K20" s="121">
        <v>7</v>
      </c>
      <c r="L20" s="121">
        <v>7</v>
      </c>
      <c r="M20" s="121">
        <v>7</v>
      </c>
      <c r="N20" s="121">
        <v>7</v>
      </c>
      <c r="O20" s="121">
        <v>7</v>
      </c>
      <c r="P20" s="121">
        <v>7</v>
      </c>
      <c r="Q20" s="121">
        <v>7</v>
      </c>
      <c r="R20" s="121">
        <v>7</v>
      </c>
      <c r="S20" s="121">
        <v>7</v>
      </c>
      <c r="T20" s="121">
        <v>7</v>
      </c>
      <c r="U20" s="121">
        <v>7</v>
      </c>
      <c r="V20" s="121">
        <v>2</v>
      </c>
      <c r="W20" s="121">
        <v>2</v>
      </c>
      <c r="X20" s="121">
        <v>2</v>
      </c>
      <c r="Y20" s="121">
        <v>2</v>
      </c>
      <c r="Z20" s="121">
        <v>2</v>
      </c>
      <c r="AA20" s="496">
        <v>2</v>
      </c>
      <c r="AB20" s="122">
        <v>2</v>
      </c>
      <c r="AC20" s="140">
        <f>IF(AND(AB20=0,AB20=0),0,IF(OR(AND(AB20&gt;0,AA20&lt;=0),AND(AB20&lt;0,AA20&gt;=0)),"nm",IF(AND(AB20&lt;0,AA20&lt;0),IF(-(AB20/AA20-1)*100&lt;-100,"(&gt;100)",-(AB20/AA20-1)*100),IF((AB20/AA20-1)*100&gt;100,"&gt;100",(AB20/AA20-1)*100))))</f>
        <v>0</v>
      </c>
      <c r="AD20" s="140">
        <f>IF(AND(AB20=0,X20=0),0,IF(OR(AND(AB20&gt;0,X20&lt;=0),AND(AB20&lt;0,X20&gt;=0)),"nm",IF(AND(AB20&lt;0,X20&lt;0),IF(-(AB20/X20-1)*100&lt;-100,"(&gt;100)",-(AB20/X20-1)*100),IF((AB20/X20-1)*100&gt;100,"&gt;100",(AB20/X20-1)*100))))</f>
        <v>0</v>
      </c>
      <c r="AE20" s="140"/>
      <c r="AF20" s="140">
        <v>6</v>
      </c>
      <c r="AG20" s="153">
        <v>6</v>
      </c>
      <c r="AH20" s="140">
        <f>IF(AND(AG20=0,AF20=0),0,IF(OR(AND(AG20&gt;0,AF20&lt;=0),AND(AG20&lt;0,AF20&gt;=0)),"nm",IF(AND(AG20&lt;0,AF20&lt;0),IF(-(AG20/AF20-1)*100&lt;-100,"(&gt;100)",-(AG20/AF20-1)*100),IF((AG20/AF20-1)*100&gt;100,"&gt;100",(AG20/AF20-1)*100))))</f>
        <v>0</v>
      </c>
      <c r="AI20" s="140">
        <v>4</v>
      </c>
      <c r="AJ20" s="153">
        <v>4</v>
      </c>
      <c r="AK20" s="140">
        <f>IF(AND(AJ20=0,AI20=0),0,IF(OR(AND(AJ20&gt;0,AI20&lt;=0),AND(AJ20&lt;0,AI20&gt;=0)),"nm",IF(AND(AJ20&lt;0,AI20&lt;0),IF(-(AJ20/AI20-1)*100&lt;-100,"(&gt;100)",-(AJ20/AI20-1)*100),IF((AJ20/AI20-1)*100&gt;100,"&gt;100",(AJ20/AI20-1)*100))))</f>
        <v>0</v>
      </c>
      <c r="AL20" s="20"/>
      <c r="AM20" s="20"/>
      <c r="AN20" s="20"/>
    </row>
    <row r="21" spans="3:40" s="22" customFormat="1" ht="14.25">
      <c r="C21" s="5"/>
      <c r="D21" s="121"/>
      <c r="E21" s="121"/>
      <c r="F21" s="121"/>
      <c r="G21" s="121"/>
      <c r="H21" s="121"/>
      <c r="I21" s="121"/>
      <c r="J21" s="121"/>
      <c r="K21" s="121"/>
      <c r="L21" s="121"/>
      <c r="M21" s="121"/>
      <c r="N21" s="121"/>
      <c r="O21" s="121"/>
      <c r="P21" s="121"/>
      <c r="Q21" s="121"/>
      <c r="R21" s="121"/>
      <c r="S21" s="121"/>
      <c r="T21" s="121"/>
      <c r="U21" s="121"/>
      <c r="V21" s="121"/>
      <c r="W21" s="121"/>
      <c r="X21" s="121"/>
      <c r="Y21" s="121"/>
      <c r="Z21" s="436"/>
      <c r="AA21" s="165"/>
      <c r="AB21" s="122"/>
      <c r="AC21" s="140"/>
      <c r="AD21" s="140"/>
      <c r="AE21" s="140"/>
      <c r="AF21" s="140"/>
      <c r="AG21" s="153"/>
      <c r="AH21" s="140"/>
      <c r="AI21" s="140"/>
      <c r="AJ21" s="485"/>
      <c r="AK21" s="140"/>
      <c r="AL21" s="20"/>
      <c r="AM21" s="20"/>
      <c r="AN21" s="20"/>
    </row>
    <row r="22" spans="2:37" s="20" customFormat="1" ht="14.25">
      <c r="B22" s="49" t="s">
        <v>320</v>
      </c>
      <c r="D22" s="121"/>
      <c r="E22" s="121"/>
      <c r="F22" s="121"/>
      <c r="G22" s="121"/>
      <c r="H22" s="121"/>
      <c r="I22" s="121"/>
      <c r="J22" s="121"/>
      <c r="K22" s="121"/>
      <c r="L22" s="121"/>
      <c r="M22" s="121"/>
      <c r="N22" s="121"/>
      <c r="O22" s="121"/>
      <c r="P22" s="121"/>
      <c r="Q22" s="121"/>
      <c r="R22" s="121"/>
      <c r="S22" s="121"/>
      <c r="T22" s="121"/>
      <c r="U22" s="121"/>
      <c r="V22" s="121"/>
      <c r="W22" s="121"/>
      <c r="X22" s="121"/>
      <c r="Y22" s="121"/>
      <c r="Z22" s="436"/>
      <c r="AA22" s="165"/>
      <c r="AB22" s="122"/>
      <c r="AC22" s="140"/>
      <c r="AD22" s="140"/>
      <c r="AE22" s="140"/>
      <c r="AF22" s="140"/>
      <c r="AG22" s="153"/>
      <c r="AH22" s="140"/>
      <c r="AI22" s="140"/>
      <c r="AJ22" s="485"/>
      <c r="AK22" s="140"/>
    </row>
    <row r="23" spans="2:37" s="20" customFormat="1" ht="15">
      <c r="B23" s="31"/>
      <c r="C23" s="20" t="s">
        <v>191</v>
      </c>
      <c r="D23" s="121">
        <v>1512</v>
      </c>
      <c r="E23" s="121">
        <v>2234</v>
      </c>
      <c r="F23" s="121">
        <v>2287</v>
      </c>
      <c r="G23" s="121">
        <v>2316</v>
      </c>
      <c r="H23" s="121">
        <v>2413</v>
      </c>
      <c r="I23" s="121"/>
      <c r="J23" s="121">
        <v>2105</v>
      </c>
      <c r="K23" s="121">
        <v>2273</v>
      </c>
      <c r="L23" s="121">
        <v>2274</v>
      </c>
      <c r="M23" s="121">
        <v>2274</v>
      </c>
      <c r="N23" s="121">
        <v>2277</v>
      </c>
      <c r="O23" s="121">
        <v>2277</v>
      </c>
      <c r="P23" s="121">
        <v>2292</v>
      </c>
      <c r="Q23" s="121">
        <v>2301</v>
      </c>
      <c r="R23" s="121">
        <v>2306</v>
      </c>
      <c r="S23" s="121">
        <v>2307</v>
      </c>
      <c r="T23" s="121">
        <v>2332</v>
      </c>
      <c r="U23" s="121">
        <v>2339</v>
      </c>
      <c r="V23" s="121">
        <v>2371</v>
      </c>
      <c r="W23" s="121">
        <v>2417</v>
      </c>
      <c r="X23" s="121">
        <v>2429</v>
      </c>
      <c r="Y23" s="121">
        <v>2437</v>
      </c>
      <c r="Z23" s="121">
        <v>2440</v>
      </c>
      <c r="AA23" s="121">
        <v>2440</v>
      </c>
      <c r="AB23" s="122">
        <v>2443</v>
      </c>
      <c r="AC23" s="140">
        <f>IF(AND(AB23=0,AB23=0),0,IF(OR(AND(AB23&gt;0,AA23&lt;=0),AND(AB23&lt;0,AA23&gt;=0)),"nm",IF(AND(AB23&lt;0,AA23&lt;0),IF(-(AB23/AA23-1)*100&lt;-100,"(&gt;100)",-(AB23/AA23-1)*100),IF((AB23/AA23-1)*100&gt;100,"&gt;100",(AB23/AA23-1)*100))))</f>
        <v>0.12295081967212962</v>
      </c>
      <c r="AD23" s="140">
        <f>IF(AND(AB23=0,X23=0),0,IF(OR(AND(AB23&gt;0,X23&lt;=0),AND(AB23&lt;0,X23&gt;=0)),"nm",IF(AND(AB23&lt;0,X23&lt;0),IF(-(AB23/X23-1)*100&lt;-100,"(&gt;100)",-(AB23/X23-1)*100),IF((AB23/X23-1)*100&gt;100,"&gt;100",(AB23/X23-1)*100))))</f>
        <v>0.5763688760807018</v>
      </c>
      <c r="AE23" s="140"/>
      <c r="AF23" s="140">
        <v>2406</v>
      </c>
      <c r="AG23" s="153">
        <v>2440</v>
      </c>
      <c r="AH23" s="140">
        <f>IF(AND(AG23=0,AF23=0),0,IF(OR(AND(AG23&gt;0,AF23&lt;=0),AND(AG23&lt;0,AF23&gt;=0)),"nm",IF(AND(AG23&lt;0,AF23&lt;0),IF(-(AG23/AF23-1)*100&lt;-100,"(&gt;100)",-(AG23/AF23-1)*100),IF((AG23/AF23-1)*100&gt;100,"&gt;100",(AG23/AF23-1)*100))))</f>
        <v>1.413133832086455</v>
      </c>
      <c r="AI23" s="140">
        <v>2394</v>
      </c>
      <c r="AJ23" s="153">
        <v>2439</v>
      </c>
      <c r="AK23" s="140">
        <f>IF(AND(AJ23=0,AI23=0),0,IF(OR(AND(AJ23&gt;0,AI23&lt;=0),AND(AJ23&lt;0,AI23&gt;=0)),"nm",IF(AND(AJ23&lt;0,AI23&lt;0),IF(-(AJ23/AI23-1)*100&lt;-100,"(&gt;100)",-(AJ23/AI23-1)*100),IF((AJ23/AI23-1)*100&gt;100,"&gt;100",(AJ23/AI23-1)*100))))</f>
        <v>1.8796992481203034</v>
      </c>
    </row>
    <row r="24" spans="3:37" s="20" customFormat="1" ht="14.25">
      <c r="C24" s="20" t="s">
        <v>192</v>
      </c>
      <c r="D24" s="121">
        <v>1583</v>
      </c>
      <c r="E24" s="121">
        <v>2333</v>
      </c>
      <c r="F24" s="121">
        <v>2388</v>
      </c>
      <c r="G24" s="121">
        <v>2417</v>
      </c>
      <c r="H24" s="121">
        <v>2444</v>
      </c>
      <c r="I24" s="121"/>
      <c r="J24" s="121">
        <v>2204</v>
      </c>
      <c r="K24" s="121">
        <v>2374</v>
      </c>
      <c r="L24" s="121">
        <v>2375</v>
      </c>
      <c r="M24" s="121">
        <v>2376</v>
      </c>
      <c r="N24" s="121">
        <v>2379</v>
      </c>
      <c r="O24" s="121">
        <v>2395</v>
      </c>
      <c r="P24" s="121">
        <v>2403</v>
      </c>
      <c r="Q24" s="121">
        <v>2403</v>
      </c>
      <c r="R24" s="121">
        <v>2407</v>
      </c>
      <c r="S24" s="121">
        <v>2442</v>
      </c>
      <c r="T24" s="121">
        <v>2434</v>
      </c>
      <c r="U24" s="121">
        <v>2439</v>
      </c>
      <c r="V24" s="121">
        <v>2402</v>
      </c>
      <c r="W24" s="121">
        <v>2448</v>
      </c>
      <c r="X24" s="121">
        <v>2460</v>
      </c>
      <c r="Y24" s="121">
        <v>2467</v>
      </c>
      <c r="Z24" s="121">
        <v>2470</v>
      </c>
      <c r="AA24" s="121">
        <v>2470</v>
      </c>
      <c r="AB24" s="122">
        <v>2473</v>
      </c>
      <c r="AC24" s="140">
        <f>IF(AND(AB24=0,AB24=0),0,IF(OR(AND(AB24&gt;0,AA24&lt;=0),AND(AB24&lt;0,AA24&gt;=0)),"nm",IF(AND(AB24&lt;0,AA24&lt;0),IF(-(AB24/AA24-1)*100&lt;-100,"(&gt;100)",-(AB24/AA24-1)*100),IF((AB24/AA24-1)*100&gt;100,"&gt;100",(AB24/AA24-1)*100))))</f>
        <v>0.12145748987855143</v>
      </c>
      <c r="AD24" s="140">
        <f>IF(AND(AB24=0,X24=0),0,IF(OR(AND(AB24&gt;0,X24&lt;=0),AND(AB24&lt;0,X24&gt;=0)),"nm",IF(AND(AB24&lt;0,X24&lt;0),IF(-(AB24/X24-1)*100&lt;-100,"(&gt;100)",-(AB24/X24-1)*100),IF((AB24/X24-1)*100&gt;100,"&gt;100",(AB24/X24-1)*100))))</f>
        <v>0.5284552845528534</v>
      </c>
      <c r="AE24" s="140"/>
      <c r="AF24" s="140">
        <v>2436</v>
      </c>
      <c r="AG24" s="153">
        <v>2470</v>
      </c>
      <c r="AH24" s="140">
        <f>IF(AND(AG24=0,AF24=0),0,IF(OR(AND(AG24&gt;0,AF24&lt;=0),AND(AG24&lt;0,AF24&gt;=0)),"nm",IF(AND(AG24&lt;0,AF24&lt;0),IF(-(AG24/AF24-1)*100&lt;-100,"(&gt;100)",-(AG24/AF24-1)*100),IF((AG24/AF24-1)*100&gt;100,"&gt;100",(AG24/AF24-1)*100))))</f>
        <v>1.3957307060755264</v>
      </c>
      <c r="AI24" s="140">
        <v>2425</v>
      </c>
      <c r="AJ24" s="153">
        <v>2470</v>
      </c>
      <c r="AK24" s="140">
        <f>IF(AND(AJ24=0,AI24=0),0,IF(OR(AND(AJ24&gt;0,AI24&lt;=0),AND(AJ24&lt;0,AI24&gt;=0)),"nm",IF(AND(AJ24&lt;0,AI24&lt;0),IF(-(AJ24/AI24-1)*100&lt;-100,"(&gt;100)",-(AJ24/AI24-1)*100),IF((AJ24/AI24-1)*100&gt;100,"&gt;100",(AJ24/AI24-1)*100))))</f>
        <v>1.855670103092777</v>
      </c>
    </row>
    <row r="25" spans="4:37" s="34" customFormat="1" ht="14.25">
      <c r="D25" s="126"/>
      <c r="E25" s="121"/>
      <c r="F25" s="121"/>
      <c r="G25" s="121"/>
      <c r="H25" s="121"/>
      <c r="I25" s="121"/>
      <c r="J25" s="121"/>
      <c r="K25" s="121"/>
      <c r="L25" s="121"/>
      <c r="M25" s="121"/>
      <c r="N25" s="121"/>
      <c r="O25" s="121"/>
      <c r="P25" s="121"/>
      <c r="Q25" s="121"/>
      <c r="R25" s="121"/>
      <c r="S25" s="121"/>
      <c r="T25" s="121"/>
      <c r="U25" s="121"/>
      <c r="V25" s="121"/>
      <c r="W25" s="121"/>
      <c r="X25" s="121"/>
      <c r="Y25" s="121"/>
      <c r="Z25" s="436"/>
      <c r="AA25" s="165"/>
      <c r="AB25" s="122"/>
      <c r="AC25" s="140"/>
      <c r="AD25" s="140"/>
      <c r="AE25" s="140"/>
      <c r="AF25" s="140"/>
      <c r="AG25" s="490"/>
      <c r="AH25" s="140"/>
      <c r="AI25" s="140"/>
      <c r="AJ25" s="485"/>
      <c r="AK25" s="140"/>
    </row>
    <row r="26" spans="1:37" s="34" customFormat="1" ht="15">
      <c r="A26" s="46" t="s">
        <v>316</v>
      </c>
      <c r="D26" s="126"/>
      <c r="E26" s="121"/>
      <c r="F26" s="121"/>
      <c r="G26" s="121"/>
      <c r="H26" s="121"/>
      <c r="I26" s="121"/>
      <c r="J26" s="121"/>
      <c r="K26" s="121"/>
      <c r="L26" s="121"/>
      <c r="M26" s="121"/>
      <c r="N26" s="121"/>
      <c r="O26" s="121"/>
      <c r="P26" s="121"/>
      <c r="Q26" s="121"/>
      <c r="R26" s="121"/>
      <c r="S26" s="121"/>
      <c r="T26" s="121"/>
      <c r="U26" s="121"/>
      <c r="V26" s="121"/>
      <c r="W26" s="121"/>
      <c r="X26" s="121"/>
      <c r="Y26" s="121"/>
      <c r="Z26" s="436"/>
      <c r="AA26" s="497"/>
      <c r="AB26" s="547"/>
      <c r="AC26" s="140"/>
      <c r="AD26" s="140"/>
      <c r="AE26" s="140"/>
      <c r="AF26" s="140"/>
      <c r="AG26" s="490"/>
      <c r="AH26" s="140"/>
      <c r="AI26" s="140"/>
      <c r="AJ26" s="485"/>
      <c r="AK26" s="140"/>
    </row>
    <row r="27" spans="2:40" s="22" customFormat="1" ht="14.25">
      <c r="B27" s="58" t="s">
        <v>58</v>
      </c>
      <c r="C27" s="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65"/>
      <c r="AB27" s="122"/>
      <c r="AC27" s="140"/>
      <c r="AD27" s="140"/>
      <c r="AE27" s="140"/>
      <c r="AF27" s="140"/>
      <c r="AG27" s="153"/>
      <c r="AH27" s="140"/>
      <c r="AI27" s="140"/>
      <c r="AJ27" s="485"/>
      <c r="AK27" s="140"/>
      <c r="AL27" s="20"/>
      <c r="AM27" s="20"/>
      <c r="AN27" s="20"/>
    </row>
    <row r="28" spans="2:40" s="22" customFormat="1" ht="15">
      <c r="B28" s="18"/>
      <c r="C28" s="20" t="s">
        <v>56</v>
      </c>
      <c r="D28" s="121">
        <v>19386</v>
      </c>
      <c r="E28" s="121">
        <v>24759</v>
      </c>
      <c r="F28" s="121">
        <v>25985</v>
      </c>
      <c r="G28" s="121">
        <v>28181</v>
      </c>
      <c r="H28" s="121">
        <v>31534</v>
      </c>
      <c r="I28" s="121"/>
      <c r="J28" s="121">
        <v>23428</v>
      </c>
      <c r="K28" s="121">
        <v>23851</v>
      </c>
      <c r="L28" s="121">
        <v>24561</v>
      </c>
      <c r="M28" s="121">
        <v>24759</v>
      </c>
      <c r="N28" s="121">
        <v>25569</v>
      </c>
      <c r="O28" s="121">
        <v>25002</v>
      </c>
      <c r="P28" s="121">
        <v>25811</v>
      </c>
      <c r="Q28" s="121">
        <v>25985</v>
      </c>
      <c r="R28" s="121">
        <v>26817</v>
      </c>
      <c r="S28" s="121">
        <v>27402</v>
      </c>
      <c r="T28" s="121">
        <v>27668</v>
      </c>
      <c r="U28" s="121">
        <v>28181</v>
      </c>
      <c r="V28" s="121">
        <v>29638</v>
      </c>
      <c r="W28" s="121">
        <v>30014</v>
      </c>
      <c r="X28" s="121">
        <v>30365</v>
      </c>
      <c r="Y28" s="121">
        <v>31534</v>
      </c>
      <c r="Z28" s="121">
        <v>32571</v>
      </c>
      <c r="AA28" s="140">
        <v>32277</v>
      </c>
      <c r="AB28" s="153">
        <v>32408.477</v>
      </c>
      <c r="AC28" s="140">
        <f>IF(AND(AB28=0,AB28=0),0,IF(OR(AND(AB28&gt;0,AA28&lt;=0),AND(AB28&lt;0,AA28&gt;=0)),"nm",IF(AND(AB28&lt;0,AA28&lt;0),IF(-(AB28/AA28-1)*100&lt;-100,"(&gt;100)",-(AB28/AA28-1)*100),IF((AB28/AA28-1)*100&gt;100,"&gt;100",(AB28/AA28-1)*100))))</f>
        <v>0.40733959165968336</v>
      </c>
      <c r="AD28" s="140">
        <f>IF(AND(AB28=0,X28=0),0,IF(OR(AND(AB28&gt;0,X28&lt;=0),AND(AB28&lt;0,X28&gt;=0)),"nm",IF(AND(AB28&lt;0,X28&lt;0),IF(-(AB28/X28-1)*100&lt;-100,"(&gt;100)",-(AB28/X28-1)*100),IF((AB28/X28-1)*100&gt;100,"&gt;100",(AB28/X28-1)*100))))</f>
        <v>6.729711839288655</v>
      </c>
      <c r="AE28" s="140"/>
      <c r="AF28" s="140">
        <v>30365</v>
      </c>
      <c r="AG28" s="153">
        <f>AB28</f>
        <v>32408.477</v>
      </c>
      <c r="AH28" s="140">
        <f>IF(AND(AG28=0,AF28=0),0,IF(OR(AND(AG28&gt;0,AF28&lt;=0),AND(AG28&lt;0,AF28&gt;=0)),"nm",IF(AND(AG28&lt;0,AF28&lt;0),IF(-(AG28/AF28-1)*100&lt;-100,"(&gt;100)",-(AG28/AF28-1)*100),IF((AG28/AF28-1)*100&gt;100,"&gt;100",(AG28/AF28-1)*100))))</f>
        <v>6.729711839288655</v>
      </c>
      <c r="AI28" s="140">
        <v>30014</v>
      </c>
      <c r="AJ28" s="153">
        <v>32277</v>
      </c>
      <c r="AK28" s="140">
        <f>IF(AND(AJ28=0,AI28=0),0,IF(OR(AND(AJ28&gt;0,AI28&lt;=0),AND(AJ28&lt;0,AI28&gt;=0)),"nm",IF(AND(AJ28&lt;0,AI28&lt;0),IF(-(AJ28/AI28-1)*100&lt;-100,"(&gt;100)",-(AJ28/AI28-1)*100),IF((AJ28/AI28-1)*100&gt;100,"&gt;100",(AJ28/AI28-1)*100))))</f>
        <v>7.539814753115204</v>
      </c>
      <c r="AL28" s="20"/>
      <c r="AM28" s="20"/>
      <c r="AN28" s="20"/>
    </row>
    <row r="29" spans="2:40" s="22" customFormat="1" ht="15">
      <c r="B29" s="18"/>
      <c r="C29" s="20" t="s">
        <v>57</v>
      </c>
      <c r="D29" s="121">
        <v>19819</v>
      </c>
      <c r="E29" s="121">
        <v>25373</v>
      </c>
      <c r="F29" s="121">
        <v>26693</v>
      </c>
      <c r="G29" s="121">
        <v>28861</v>
      </c>
      <c r="H29" s="121">
        <v>31773</v>
      </c>
      <c r="I29" s="121"/>
      <c r="J29" s="121">
        <v>24042</v>
      </c>
      <c r="K29" s="121">
        <v>24465</v>
      </c>
      <c r="L29" s="121">
        <v>25174</v>
      </c>
      <c r="M29" s="121">
        <v>25373</v>
      </c>
      <c r="N29" s="121">
        <v>26183</v>
      </c>
      <c r="O29" s="121">
        <v>25718</v>
      </c>
      <c r="P29" s="121">
        <v>26523</v>
      </c>
      <c r="Q29" s="121">
        <v>26693</v>
      </c>
      <c r="R29" s="121">
        <v>27521</v>
      </c>
      <c r="S29" s="121">
        <v>28101</v>
      </c>
      <c r="T29" s="121">
        <v>28360</v>
      </c>
      <c r="U29" s="121">
        <v>28861</v>
      </c>
      <c r="V29" s="121">
        <v>29844</v>
      </c>
      <c r="W29" s="121">
        <v>30219</v>
      </c>
      <c r="X29" s="121">
        <v>30566</v>
      </c>
      <c r="Y29" s="121">
        <v>31773</v>
      </c>
      <c r="Z29" s="121">
        <v>32757</v>
      </c>
      <c r="AA29" s="140">
        <v>32460</v>
      </c>
      <c r="AB29" s="153">
        <v>32591</v>
      </c>
      <c r="AC29" s="140">
        <f>IF(AND(AB29=0,AB29=0),0,IF(OR(AND(AB29&gt;0,AA29&lt;=0),AND(AB29&lt;0,AA29&gt;=0)),"nm",IF(AND(AB29&lt;0,AA29&lt;0),IF(-(AB29/AA29-1)*100&lt;-100,"(&gt;100)",-(AB29/AA29-1)*100),IF((AB29/AA29-1)*100&gt;100,"&gt;100",(AB29/AA29-1)*100))))</f>
        <v>0.4035736290819436</v>
      </c>
      <c r="AD29" s="140">
        <f>IF(AND(AB29=0,X29=0),0,IF(OR(AND(AB29&gt;0,X29&lt;=0),AND(AB29&lt;0,X29&gt;=0)),"nm",IF(AND(AB29&lt;0,X29&lt;0),IF(-(AB29/X29-1)*100&lt;-100,"(&gt;100)",-(AB29/X29-1)*100),IF((AB29/X29-1)*100&gt;100,"&gt;100",(AB29/X29-1)*100))))</f>
        <v>6.625008179022451</v>
      </c>
      <c r="AE29" s="140"/>
      <c r="AF29" s="140">
        <v>30566</v>
      </c>
      <c r="AG29" s="153">
        <f>AB29</f>
        <v>32591</v>
      </c>
      <c r="AH29" s="140">
        <f>IF(AND(AG29=0,AF29=0),0,IF(OR(AND(AG29&gt;0,AF29&lt;=0),AND(AG29&lt;0,AF29&gt;=0)),"nm",IF(AND(AG29&lt;0,AF29&lt;0),IF(-(AG29/AF29-1)*100&lt;-100,"(&gt;100)",-(AG29/AF29-1)*100),IF((AG29/AF29-1)*100&gt;100,"&gt;100",(AG29/AF29-1)*100))))</f>
        <v>6.625008179022451</v>
      </c>
      <c r="AI29" s="140">
        <v>30219</v>
      </c>
      <c r="AJ29" s="153">
        <v>32460</v>
      </c>
      <c r="AK29" s="140">
        <f>IF(AND(AJ29=0,AI29=0),0,IF(OR(AND(AJ29&gt;0,AI29&lt;=0),AND(AJ29&lt;0,AI29&gt;=0)),"nm",IF(AND(AJ29&lt;0,AI29&lt;0),IF(-(AJ29/AI29-1)*100&lt;-100,"(&gt;100)",-(AJ29/AI29-1)*100),IF((AJ29/AI29-1)*100&gt;100,"&gt;100",(AJ29/AI29-1)*100))))</f>
        <v>7.415864191402766</v>
      </c>
      <c r="AL29" s="20"/>
      <c r="AM29" s="20"/>
      <c r="AN29" s="20"/>
    </row>
    <row r="30" spans="2:37" s="20" customFormat="1" ht="14.25">
      <c r="B30" s="34"/>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65"/>
      <c r="AB30" s="122"/>
      <c r="AC30" s="140"/>
      <c r="AD30" s="140"/>
      <c r="AE30" s="140"/>
      <c r="AF30" s="140"/>
      <c r="AG30" s="153"/>
      <c r="AH30" s="140"/>
      <c r="AI30" s="140"/>
      <c r="AJ30" s="485"/>
      <c r="AK30" s="140"/>
    </row>
    <row r="31" spans="2:37" s="34" customFormat="1" ht="14.25">
      <c r="B31" s="49" t="s">
        <v>232</v>
      </c>
      <c r="D31" s="126"/>
      <c r="E31" s="121"/>
      <c r="F31" s="121"/>
      <c r="G31" s="121"/>
      <c r="H31" s="121"/>
      <c r="I31" s="121"/>
      <c r="J31" s="121"/>
      <c r="K31" s="121"/>
      <c r="L31" s="121"/>
      <c r="M31" s="121"/>
      <c r="N31" s="121"/>
      <c r="O31" s="121"/>
      <c r="P31" s="121"/>
      <c r="Q31" s="121"/>
      <c r="R31" s="121"/>
      <c r="S31" s="121"/>
      <c r="T31" s="121"/>
      <c r="U31" s="121"/>
      <c r="V31" s="121"/>
      <c r="W31" s="121"/>
      <c r="X31" s="121"/>
      <c r="Y31" s="121"/>
      <c r="Z31" s="121"/>
      <c r="AA31" s="165"/>
      <c r="AB31" s="122"/>
      <c r="AC31" s="140"/>
      <c r="AD31" s="140"/>
      <c r="AE31" s="140"/>
      <c r="AF31" s="140"/>
      <c r="AG31" s="153"/>
      <c r="AH31" s="140"/>
      <c r="AI31" s="140"/>
      <c r="AJ31" s="485"/>
      <c r="AK31" s="140"/>
    </row>
    <row r="32" spans="3:37" s="20" customFormat="1" ht="14.25">
      <c r="C32" s="20" t="s">
        <v>193</v>
      </c>
      <c r="D32" s="121">
        <v>1521</v>
      </c>
      <c r="E32" s="121">
        <f>L32</f>
        <v>2282</v>
      </c>
      <c r="F32" s="121">
        <v>2309</v>
      </c>
      <c r="G32" s="121">
        <v>2350</v>
      </c>
      <c r="H32" s="121">
        <v>2437</v>
      </c>
      <c r="I32" s="121"/>
      <c r="J32" s="121">
        <v>2281</v>
      </c>
      <c r="K32" s="121">
        <v>2281</v>
      </c>
      <c r="L32" s="121">
        <v>2282</v>
      </c>
      <c r="M32" s="121">
        <v>2282</v>
      </c>
      <c r="N32" s="121">
        <v>2283</v>
      </c>
      <c r="O32" s="121">
        <v>2298</v>
      </c>
      <c r="P32" s="121">
        <v>2308</v>
      </c>
      <c r="Q32" s="121">
        <v>2309</v>
      </c>
      <c r="R32" s="121">
        <v>2309</v>
      </c>
      <c r="S32" s="121">
        <v>2343</v>
      </c>
      <c r="T32" s="121">
        <v>2350</v>
      </c>
      <c r="U32" s="121">
        <v>2350</v>
      </c>
      <c r="V32" s="121">
        <v>2416</v>
      </c>
      <c r="W32" s="121">
        <v>2429</v>
      </c>
      <c r="X32" s="121">
        <v>2430</v>
      </c>
      <c r="Y32" s="121">
        <v>2437</v>
      </c>
      <c r="Z32" s="121">
        <v>2440</v>
      </c>
      <c r="AA32" s="121">
        <f>AJ32</f>
        <v>2443</v>
      </c>
      <c r="AB32" s="122">
        <v>2444.981</v>
      </c>
      <c r="AC32" s="140">
        <f>IF(AND(AB32=0,AB32=0),0,IF(OR(AND(AB32&gt;0,AA32&lt;=0),AND(AB32&lt;0,AA32&gt;=0)),"nm",IF(AND(AB32&lt;0,AA32&lt;0),IF(-(AB32/AA32-1)*100&lt;-100,"(&gt;100)",-(AB32/AA32-1)*100),IF((AB32/AA32-1)*100&gt;100,"&gt;100",(AB32/AA32-1)*100))))</f>
        <v>0.08108882521491445</v>
      </c>
      <c r="AD32" s="140">
        <f>IF(AND(AB32=0,X32=0),0,IF(OR(AND(AB32&gt;0,X32&lt;=0),AND(AB32&lt;0,X32&gt;=0)),"nm",IF(AND(AB32&lt;0,X32&lt;0),IF(-(AB32/X32-1)*100&lt;-100,"(&gt;100)",-(AB32/X32-1)*100),IF((AB32/X32-1)*100&gt;100,"&gt;100",(AB32/X32-1)*100))))</f>
        <v>0.6165020576131885</v>
      </c>
      <c r="AE32" s="140"/>
      <c r="AF32" s="140">
        <v>2430</v>
      </c>
      <c r="AG32" s="153">
        <f>AB32</f>
        <v>2444.981</v>
      </c>
      <c r="AH32" s="140">
        <f>IF(AND(AG32=0,AF32=0),0,IF(OR(AND(AG32&gt;0,AF32&lt;=0),AND(AG32&lt;0,AF32&gt;=0)),"nm",IF(AND(AG32&lt;0,AF32&lt;0),IF(-(AG32/AF32-1)*100&lt;-100,"(&gt;100)",-(AG32/AF32-1)*100),IF((AG32/AF32-1)*100&gt;100,"&gt;100",(AG32/AF32-1)*100))))</f>
        <v>0.6165020576131885</v>
      </c>
      <c r="AI32" s="140">
        <v>2429</v>
      </c>
      <c r="AJ32" s="153">
        <v>2443</v>
      </c>
      <c r="AK32" s="140">
        <f>IF(AND(AJ32=0,AI32=0),0,IF(OR(AND(AJ32&gt;0,AI32&lt;=0),AND(AJ32&lt;0,AI32&gt;=0)),"nm",IF(AND(AJ32&lt;0,AI32&lt;0),IF(-(AJ32/AI32-1)*100&lt;-100,"(&gt;100)",-(AJ32/AI32-1)*100),IF((AJ32/AI32-1)*100&gt;100,"&gt;100",(AJ32/AI32-1)*100))))</f>
        <v>0.5763688760807018</v>
      </c>
    </row>
    <row r="33" spans="3:37" s="20" customFormat="1" ht="14.25">
      <c r="C33" s="20" t="s">
        <v>194</v>
      </c>
      <c r="D33" s="121">
        <v>1588</v>
      </c>
      <c r="E33" s="121">
        <f>L33</f>
        <v>2382</v>
      </c>
      <c r="F33" s="121">
        <v>2417</v>
      </c>
      <c r="G33" s="121">
        <v>2456</v>
      </c>
      <c r="H33" s="121">
        <v>2470</v>
      </c>
      <c r="I33" s="121"/>
      <c r="J33" s="121">
        <v>2381</v>
      </c>
      <c r="K33" s="121">
        <v>2381</v>
      </c>
      <c r="L33" s="121">
        <v>2382</v>
      </c>
      <c r="M33" s="121">
        <v>2382</v>
      </c>
      <c r="N33" s="121">
        <v>2383</v>
      </c>
      <c r="O33" s="121">
        <v>2408</v>
      </c>
      <c r="P33" s="121">
        <v>2417</v>
      </c>
      <c r="Q33" s="121">
        <v>2417</v>
      </c>
      <c r="R33" s="121">
        <v>2417</v>
      </c>
      <c r="S33" s="121">
        <v>2450</v>
      </c>
      <c r="T33" s="121">
        <v>2457</v>
      </c>
      <c r="U33" s="121">
        <v>2456</v>
      </c>
      <c r="V33" s="121">
        <v>2450</v>
      </c>
      <c r="W33" s="121">
        <v>2463</v>
      </c>
      <c r="X33" s="121">
        <v>2463</v>
      </c>
      <c r="Y33" s="121">
        <v>2470</v>
      </c>
      <c r="Z33" s="121">
        <v>2472</v>
      </c>
      <c r="AA33" s="121">
        <f>AJ33</f>
        <v>2475</v>
      </c>
      <c r="AB33" s="122">
        <v>2477</v>
      </c>
      <c r="AC33" s="140">
        <f>IF(AND(AB33=0,AB33=0),0,IF(OR(AND(AB33&gt;0,AA33&lt;=0),AND(AB33&lt;0,AA33&gt;=0)),"nm",IF(AND(AB33&lt;0,AA33&lt;0),IF(-(AB33/AA33-1)*100&lt;-100,"(&gt;100)",-(AB33/AA33-1)*100),IF((AB33/AA33-1)*100&gt;100,"&gt;100",(AB33/AA33-1)*100))))</f>
        <v>0.08080808080808133</v>
      </c>
      <c r="AD33" s="140">
        <f>IF(AND(AB33=0,X33=0),0,IF(OR(AND(AB33&gt;0,X33&lt;=0),AND(AB33&lt;0,X33&gt;=0)),"nm",IF(AND(AB33&lt;0,X33&lt;0),IF(-(AB33/X33-1)*100&lt;-100,"(&gt;100)",-(AB33/X33-1)*100),IF((AB33/X33-1)*100&gt;100,"&gt;100",(AB33/X33-1)*100))))</f>
        <v>0.568412505075111</v>
      </c>
      <c r="AE33" s="140"/>
      <c r="AF33" s="140">
        <v>2463</v>
      </c>
      <c r="AG33" s="153">
        <f>AB33</f>
        <v>2477</v>
      </c>
      <c r="AH33" s="140">
        <f>IF(AND(AG33=0,AF33=0),0,IF(OR(AND(AG33&gt;0,AF33&lt;=0),AND(AG33&lt;0,AF33&gt;=0)),"nm",IF(AND(AG33&lt;0,AF33&lt;0),IF(-(AG33/AF33-1)*100&lt;-100,"(&gt;100)",-(AG33/AF33-1)*100),IF((AG33/AF33-1)*100&gt;100,"&gt;100",(AG33/AF33-1)*100))))</f>
        <v>0.568412505075111</v>
      </c>
      <c r="AI33" s="140">
        <v>2463</v>
      </c>
      <c r="AJ33" s="153">
        <v>2475</v>
      </c>
      <c r="AK33" s="140">
        <f>IF(AND(AJ33=0,AI33=0),0,IF(OR(AND(AJ33&gt;0,AI33&lt;=0),AND(AJ33&lt;0,AI33&gt;=0)),"nm",IF(AND(AJ33&lt;0,AI33&lt;0),IF(-(AJ33/AI33-1)*100&lt;-100,"(&gt;100)",-(AJ33/AI33-1)*100),IF((AJ33/AI33-1)*100&gt;100,"&gt;100",(AJ33/AI33-1)*100))))</f>
        <v>0.4872107186357999</v>
      </c>
    </row>
    <row r="34" spans="4:37" s="20" customFormat="1" ht="14.25">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489"/>
      <c r="AC34" s="140"/>
      <c r="AD34" s="140"/>
      <c r="AE34" s="140"/>
      <c r="AF34" s="140"/>
      <c r="AG34" s="490"/>
      <c r="AH34" s="140"/>
      <c r="AI34" s="140"/>
      <c r="AJ34" s="485"/>
      <c r="AK34" s="140"/>
    </row>
    <row r="35" spans="2:37" s="34" customFormat="1" ht="14.25">
      <c r="B35" s="34" t="s">
        <v>333</v>
      </c>
      <c r="C35" s="591" t="s">
        <v>347</v>
      </c>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121"/>
      <c r="AF35" s="127"/>
      <c r="AG35" s="554"/>
      <c r="AH35" s="127"/>
      <c r="AI35" s="455"/>
      <c r="AJ35" s="463"/>
      <c r="AK35" s="455"/>
    </row>
    <row r="36" spans="3:37" s="59" customFormat="1" ht="14.25">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128"/>
      <c r="AF36" s="303"/>
      <c r="AG36" s="555"/>
      <c r="AH36" s="127"/>
      <c r="AI36" s="303"/>
      <c r="AJ36" s="464"/>
      <c r="AK36" s="455"/>
    </row>
    <row r="37" spans="3:37" s="115" customFormat="1" ht="14.25">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130"/>
      <c r="AF37" s="304"/>
      <c r="AG37" s="337"/>
      <c r="AH37" s="127"/>
      <c r="AI37" s="304"/>
      <c r="AJ37" s="465"/>
      <c r="AK37" s="455"/>
    </row>
    <row r="38" ht="14.25">
      <c r="AJ38" s="461"/>
    </row>
    <row r="39" ht="14.25">
      <c r="AJ39" s="461"/>
    </row>
    <row r="40" ht="14.25">
      <c r="AJ40" s="461"/>
    </row>
  </sheetData>
  <sheetProtection/>
  <mergeCells count="2">
    <mergeCell ref="A2:C2"/>
    <mergeCell ref="C35:AD37"/>
  </mergeCells>
  <hyperlinks>
    <hyperlink ref="A2" location="Index!A1" display="Back to Index"/>
  </hyperlinks>
  <printOptions/>
  <pageMargins left="0.75" right="0.75" top="1" bottom="1" header="0.5" footer="0.5"/>
  <pageSetup fitToHeight="1" fitToWidth="1" horizontalDpi="600" verticalDpi="600" orientation="landscape" scale="85" r:id="rId1"/>
  <headerFooter alignWithMargins="0">
    <oddFooter>&amp;L&amp;D &amp;T&amp;R&amp;F &amp;A</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A1:AM34"/>
  <sheetViews>
    <sheetView zoomScale="80" zoomScaleNormal="80" zoomScalePageLayoutView="0" workbookViewId="0" topLeftCell="A1">
      <pane xSplit="3" ySplit="2" topLeftCell="D12" activePane="bottomRight" state="frozen"/>
      <selection pane="topLeft" activeCell="AC13" sqref="AC13"/>
      <selection pane="topRight" activeCell="AC13" sqref="AC13"/>
      <selection pane="bottomLeft" activeCell="AC13" sqref="AC13"/>
      <selection pane="bottomRight" activeCell="AC5" sqref="AC5"/>
    </sheetView>
  </sheetViews>
  <sheetFormatPr defaultColWidth="9.140625" defaultRowHeight="12.75" outlineLevelCol="1"/>
  <cols>
    <col min="1" max="1" width="2.421875" style="26" customWidth="1"/>
    <col min="2" max="2" width="1.57421875" style="26" customWidth="1"/>
    <col min="3" max="3" width="26.7109375" style="25" customWidth="1"/>
    <col min="4" max="4" width="9.8515625" style="164" hidden="1" customWidth="1" outlineLevel="1"/>
    <col min="5" max="8" width="9.8515625" style="21" hidden="1" customWidth="1" outlineLevel="1"/>
    <col min="9" max="9" width="2.8515625" style="21" hidden="1" customWidth="1" outlineLevel="1"/>
    <col min="10" max="17" width="9.8515625" style="21" hidden="1" customWidth="1" outlineLevel="1"/>
    <col min="18" max="18" width="9.8515625" style="21" hidden="1" customWidth="1" outlineLevel="1" collapsed="1"/>
    <col min="19" max="21" width="9.8515625" style="21" hidden="1" customWidth="1" outlineLevel="1"/>
    <col min="22" max="22" width="9.8515625" style="21" customWidth="1" collapsed="1"/>
    <col min="23" max="25" width="9.8515625" style="21" customWidth="1"/>
    <col min="26" max="27" width="9.8515625" style="19" customWidth="1"/>
    <col min="28" max="28" width="9.8515625" style="301" customWidth="1"/>
    <col min="29" max="30" width="9.8515625" style="21" customWidth="1"/>
    <col min="31" max="31" width="3.421875" style="26" customWidth="1"/>
    <col min="32" max="32" width="9.8515625" style="21" customWidth="1"/>
    <col min="33" max="33" width="10.140625" style="301" customWidth="1"/>
    <col min="34" max="34" width="8.7109375" style="21" customWidth="1"/>
    <col min="35" max="35" width="9.8515625" style="19" hidden="1" customWidth="1"/>
    <col min="36" max="36" width="10.140625" style="301" hidden="1" customWidth="1"/>
    <col min="37" max="37" width="8.7109375" style="19" hidden="1" customWidth="1"/>
    <col min="38" max="38" width="9.140625" style="26" customWidth="1"/>
    <col min="39" max="16384" width="9.140625" style="26" customWidth="1"/>
  </cols>
  <sheetData>
    <row r="1" spans="1:37" s="42" customFormat="1" ht="20.25">
      <c r="A1" s="41" t="s">
        <v>143</v>
      </c>
      <c r="D1" s="163"/>
      <c r="E1" s="124"/>
      <c r="F1" s="124"/>
      <c r="G1" s="124"/>
      <c r="H1" s="124"/>
      <c r="I1" s="43"/>
      <c r="J1" s="43"/>
      <c r="K1" s="43"/>
      <c r="L1" s="43"/>
      <c r="M1" s="43"/>
      <c r="N1" s="43"/>
      <c r="O1" s="43"/>
      <c r="P1" s="43"/>
      <c r="Q1" s="43"/>
      <c r="R1" s="43"/>
      <c r="S1" s="43"/>
      <c r="T1" s="43"/>
      <c r="U1" s="43"/>
      <c r="V1" s="43"/>
      <c r="W1" s="43"/>
      <c r="X1" s="43"/>
      <c r="Y1" s="43"/>
      <c r="Z1" s="348"/>
      <c r="AA1" s="348"/>
      <c r="AB1" s="348"/>
      <c r="AC1" s="43"/>
      <c r="AD1" s="43"/>
      <c r="AE1" s="43"/>
      <c r="AF1" s="43"/>
      <c r="AG1" s="348"/>
      <c r="AH1" s="43"/>
      <c r="AI1" s="43"/>
      <c r="AJ1" s="348"/>
      <c r="AK1" s="43"/>
    </row>
    <row r="2" spans="1:37" s="44" customFormat="1" ht="45">
      <c r="A2" s="590" t="s">
        <v>80</v>
      </c>
      <c r="B2" s="590"/>
      <c r="C2" s="590"/>
      <c r="D2" s="73" t="s">
        <v>60</v>
      </c>
      <c r="E2" s="74" t="s">
        <v>231</v>
      </c>
      <c r="F2" s="74" t="s">
        <v>346</v>
      </c>
      <c r="G2" s="74" t="s">
        <v>362</v>
      </c>
      <c r="H2" s="74" t="s">
        <v>383</v>
      </c>
      <c r="I2" s="73"/>
      <c r="J2" s="73" t="s">
        <v>2</v>
      </c>
      <c r="K2" s="73" t="s">
        <v>3</v>
      </c>
      <c r="L2" s="73" t="s">
        <v>4</v>
      </c>
      <c r="M2" s="73" t="s">
        <v>230</v>
      </c>
      <c r="N2" s="73" t="s">
        <v>330</v>
      </c>
      <c r="O2" s="73" t="s">
        <v>334</v>
      </c>
      <c r="P2" s="73" t="s">
        <v>341</v>
      </c>
      <c r="Q2" s="73" t="s">
        <v>345</v>
      </c>
      <c r="R2" s="285" t="s">
        <v>349</v>
      </c>
      <c r="S2" s="285" t="s">
        <v>353</v>
      </c>
      <c r="T2" s="285" t="s">
        <v>357</v>
      </c>
      <c r="U2" s="285" t="s">
        <v>361</v>
      </c>
      <c r="V2" s="285" t="s">
        <v>363</v>
      </c>
      <c r="W2" s="285" t="s">
        <v>374</v>
      </c>
      <c r="X2" s="285" t="s">
        <v>380</v>
      </c>
      <c r="Y2" s="285" t="s">
        <v>384</v>
      </c>
      <c r="Z2" s="285" t="s">
        <v>387</v>
      </c>
      <c r="AA2" s="285" t="s">
        <v>411</v>
      </c>
      <c r="AB2" s="285" t="s">
        <v>431</v>
      </c>
      <c r="AC2" s="285" t="str">
        <f>+'2.PerShare'!AC2</f>
        <v>3Q13
vs 
2Q13</v>
      </c>
      <c r="AD2" s="285" t="str">
        <f>+'2.PerShare'!AD2</f>
        <v>3Q13
vs 
3Q12</v>
      </c>
      <c r="AF2" s="74" t="s">
        <v>442</v>
      </c>
      <c r="AG2" s="74" t="s">
        <v>443</v>
      </c>
      <c r="AH2" s="285" t="s">
        <v>444</v>
      </c>
      <c r="AI2" s="285" t="str">
        <f>'2.PerShare'!AI2</f>
        <v>1H12</v>
      </c>
      <c r="AJ2" s="285" t="str">
        <f>'2.PerShare'!AJ2</f>
        <v>1H13</v>
      </c>
      <c r="AK2" s="285" t="str">
        <f>'2.PerShare'!AK2</f>
        <v>1H13
vs 
1H12</v>
      </c>
    </row>
    <row r="3" spans="1:37" s="18" customFormat="1" ht="9.75" customHeight="1">
      <c r="A3" s="7"/>
      <c r="D3" s="15"/>
      <c r="E3" s="15"/>
      <c r="F3" s="15"/>
      <c r="G3" s="15"/>
      <c r="H3" s="15"/>
      <c r="I3" s="15"/>
      <c r="J3" s="15"/>
      <c r="K3" s="15"/>
      <c r="L3" s="15"/>
      <c r="M3" s="15"/>
      <c r="N3" s="15"/>
      <c r="O3" s="15"/>
      <c r="P3" s="15"/>
      <c r="Q3" s="15"/>
      <c r="R3" s="15"/>
      <c r="S3" s="15"/>
      <c r="T3" s="15"/>
      <c r="U3" s="15"/>
      <c r="V3" s="15"/>
      <c r="W3" s="15"/>
      <c r="X3" s="15"/>
      <c r="Y3" s="15"/>
      <c r="Z3" s="15"/>
      <c r="AA3" s="15"/>
      <c r="AB3" s="16"/>
      <c r="AC3" s="17"/>
      <c r="AD3" s="17"/>
      <c r="AE3" s="15"/>
      <c r="AF3" s="15"/>
      <c r="AG3" s="16"/>
      <c r="AH3" s="17"/>
      <c r="AI3" s="15"/>
      <c r="AJ3" s="16"/>
      <c r="AK3" s="17"/>
    </row>
    <row r="4" spans="1:37" s="18" customFormat="1" ht="15">
      <c r="A4" s="47" t="s">
        <v>103</v>
      </c>
      <c r="D4" s="15"/>
      <c r="E4" s="15"/>
      <c r="F4" s="15"/>
      <c r="G4" s="15"/>
      <c r="H4" s="15"/>
      <c r="I4" s="15"/>
      <c r="J4" s="15"/>
      <c r="K4" s="15"/>
      <c r="L4" s="15"/>
      <c r="M4" s="15"/>
      <c r="N4" s="15"/>
      <c r="O4" s="15"/>
      <c r="P4" s="15"/>
      <c r="Q4" s="15"/>
      <c r="R4" s="15"/>
      <c r="S4" s="15"/>
      <c r="T4" s="15"/>
      <c r="U4" s="15"/>
      <c r="V4" s="15"/>
      <c r="W4" s="15"/>
      <c r="X4" s="15"/>
      <c r="Y4" s="15"/>
      <c r="Z4" s="15"/>
      <c r="AA4" s="15"/>
      <c r="AB4" s="16"/>
      <c r="AC4" s="17"/>
      <c r="AD4" s="17"/>
      <c r="AE4" s="15"/>
      <c r="AF4" s="15"/>
      <c r="AG4" s="16"/>
      <c r="AH4" s="17"/>
      <c r="AI4" s="15"/>
      <c r="AJ4" s="16"/>
      <c r="AK4" s="17"/>
    </row>
    <row r="5" spans="1:37" s="31" customFormat="1" ht="15">
      <c r="A5" s="31" t="s">
        <v>5</v>
      </c>
      <c r="D5" s="15">
        <v>4301</v>
      </c>
      <c r="E5" s="15">
        <v>4455</v>
      </c>
      <c r="F5" s="15">
        <v>4318</v>
      </c>
      <c r="G5" s="15">
        <v>4825</v>
      </c>
      <c r="H5" s="15">
        <v>5285</v>
      </c>
      <c r="I5" s="15"/>
      <c r="J5" s="15">
        <v>1076</v>
      </c>
      <c r="K5" s="15">
        <v>1112</v>
      </c>
      <c r="L5" s="15">
        <v>1140</v>
      </c>
      <c r="M5" s="15">
        <v>1127</v>
      </c>
      <c r="N5" s="15">
        <v>1066</v>
      </c>
      <c r="O5" s="15">
        <v>1067</v>
      </c>
      <c r="P5" s="15">
        <v>1079</v>
      </c>
      <c r="Q5" s="15">
        <v>1106</v>
      </c>
      <c r="R5" s="15">
        <v>1122</v>
      </c>
      <c r="S5" s="15">
        <v>1199</v>
      </c>
      <c r="T5" s="15">
        <v>1214</v>
      </c>
      <c r="U5" s="15">
        <v>1290</v>
      </c>
      <c r="V5" s="15">
        <v>1336</v>
      </c>
      <c r="W5" s="15">
        <v>1324</v>
      </c>
      <c r="X5" s="15">
        <v>1332</v>
      </c>
      <c r="Y5" s="15">
        <v>1293</v>
      </c>
      <c r="Z5" s="15">
        <v>1327</v>
      </c>
      <c r="AA5" s="15">
        <v>1382</v>
      </c>
      <c r="AB5" s="16">
        <f>AG5-Z5-AA5</f>
        <v>1406</v>
      </c>
      <c r="AC5" s="15">
        <f>IF(AND(AB5=0,AB5=0),0,IF(OR(AND(AB5&gt;0,AA5&lt;=0),AND(AB5&lt;0,AA5&gt;=0)),"nm",IF(AND(AB5&lt;0,AA5&lt;0),IF(-(AB5/AA5-1)*100&lt;-100,"(&gt;100)",-(AB5/AA5-1)*100),IF((AB5/AA5-1)*100&gt;100,"&gt;100",(AB5/AA5-1)*100))))</f>
        <v>1.736613603473236</v>
      </c>
      <c r="AD5" s="17">
        <f>IF(AND(AB5=0,X5=0),0,IF(OR(AND(AB5&gt;0,X5&lt;=0),AND(AB5&lt;0,X5&gt;=0)),"nm",IF(AND(AB5&lt;0,X5&lt;0),IF(-(AB5/X5-1)*100&lt;-100,"(&gt;100)",-(AB5/X5-1)*100),IF((AB5/X5-1)*100&gt;100,"&gt;100",(AB5/X5-1)*100))))</f>
        <v>5.555555555555558</v>
      </c>
      <c r="AF5" s="15">
        <v>3992</v>
      </c>
      <c r="AG5" s="388">
        <f>AG6-AG10</f>
        <v>4115</v>
      </c>
      <c r="AH5" s="15">
        <f>IF(AND(AG5=0,AF5=0),0,IF(OR(AND(AG5&gt;0,AF5&lt;=0),AND(AG5&lt;0,AF5&gt;=0)),"nm",IF(AND(AG5&lt;0,AF5&lt;0),IF(-(AG5/AF5-1)*100&lt;-100,"(&gt;100)",-(AG5/AF5-1)*100),IF((AG5/AF5-1)*100&gt;100,"&gt;100",(AG5/AF5-1)*100))))</f>
        <v>3.0811623246493003</v>
      </c>
      <c r="AI5" s="15">
        <v>2660</v>
      </c>
      <c r="AJ5" s="388">
        <f>SUM(Z5:AA5)</f>
        <v>2709</v>
      </c>
      <c r="AK5" s="15">
        <f>IF(AND(AJ5=0,AI5=0),0,IF(OR(AND(AJ5&gt;0,AI5&lt;=0),AND(AJ5&lt;0,AI5&gt;=0)),"nm",IF(AND(AJ5&lt;0,AI5&lt;0),IF(-(AJ5/AI5-1)*100&lt;-100,"(&gt;100)",-(AJ5/AI5-1)*100),IF((AJ5/AI5-1)*100&gt;100,"&gt;100",(AJ5/AI5-1)*100))))</f>
        <v>1.8421052631578894</v>
      </c>
    </row>
    <row r="6" spans="2:37" s="31" customFormat="1" ht="15">
      <c r="B6" s="31" t="s">
        <v>23</v>
      </c>
      <c r="D6" s="15">
        <v>8122</v>
      </c>
      <c r="E6" s="15">
        <v>6114</v>
      </c>
      <c r="F6" s="15">
        <v>5699</v>
      </c>
      <c r="G6" s="15">
        <v>6555</v>
      </c>
      <c r="H6" s="15">
        <v>7621</v>
      </c>
      <c r="I6" s="15"/>
      <c r="J6" s="15">
        <v>1655</v>
      </c>
      <c r="K6" s="15">
        <f>K7+K8+K9</f>
        <v>1543</v>
      </c>
      <c r="L6" s="15">
        <v>1479</v>
      </c>
      <c r="M6" s="15">
        <v>1437</v>
      </c>
      <c r="N6" s="15">
        <v>1372</v>
      </c>
      <c r="O6" s="15">
        <v>1409</v>
      </c>
      <c r="P6" s="15">
        <v>1457</v>
      </c>
      <c r="Q6" s="15">
        <v>1461</v>
      </c>
      <c r="R6" s="15">
        <v>1485</v>
      </c>
      <c r="S6" s="15">
        <v>1580</v>
      </c>
      <c r="T6" s="15">
        <v>1676</v>
      </c>
      <c r="U6" s="15">
        <v>1814</v>
      </c>
      <c r="V6" s="15">
        <v>1870</v>
      </c>
      <c r="W6" s="15">
        <v>1912</v>
      </c>
      <c r="X6" s="15">
        <v>1939</v>
      </c>
      <c r="Y6" s="15">
        <v>1900</v>
      </c>
      <c r="Z6" s="15">
        <v>1920</v>
      </c>
      <c r="AA6" s="15">
        <v>1975</v>
      </c>
      <c r="AB6" s="16">
        <f>AG6-Z6-AA6</f>
        <v>2006</v>
      </c>
      <c r="AC6" s="15">
        <f aca="true" t="shared" si="0" ref="AC6:AC12">IF(AND(AB6=0,AB6=0),0,IF(OR(AND(AB6&gt;0,AA6&lt;=0),AND(AB6&lt;0,AA6&gt;=0)),"nm",IF(AND(AB6&lt;0,AA6&lt;0),IF(-(AB6/AA6-1)*100&lt;-100,"(&gt;100)",-(AB6/AA6-1)*100),IF((AB6/AA6-1)*100&gt;100,"&gt;100",(AB6/AA6-1)*100))))</f>
        <v>1.5696202531645609</v>
      </c>
      <c r="AD6" s="17">
        <f aca="true" t="shared" si="1" ref="AD6:AD12">IF(AND(AB6=0,X6=0),0,IF(OR(AND(AB6&gt;0,X6&lt;=0),AND(AB6&lt;0,X6&gt;=0)),"nm",IF(AND(AB6&lt;0,X6&lt;0),IF(-(AB6/X6-1)*100&lt;-100,"(&gt;100)",-(AB6/X6-1)*100),IF((AB6/X6-1)*100&gt;100,"&gt;100",(AB6/X6-1)*100))))</f>
        <v>3.4553893759669885</v>
      </c>
      <c r="AF6" s="15">
        <v>5721</v>
      </c>
      <c r="AG6" s="388">
        <f>SUM(AG7:AG9)</f>
        <v>5901</v>
      </c>
      <c r="AH6" s="15">
        <f aca="true" t="shared" si="2" ref="AH6:AH11">IF(AND(AG6=0,AF6=0),0,IF(OR(AND(AG6&gt;0,AF6&lt;=0),AND(AG6&lt;0,AF6&gt;=0)),"nm",IF(AND(AG6&lt;0,AF6&lt;0),IF(-(AG6/AF6-1)*100&lt;-100,"(&gt;100)",-(AG6/AF6-1)*100),IF((AG6/AF6-1)*100&gt;100,"&gt;100",(AG6/AF6-1)*100))))</f>
        <v>3.1463030938646996</v>
      </c>
      <c r="AI6" s="15">
        <v>3782</v>
      </c>
      <c r="AJ6" s="388">
        <f aca="true" t="shared" si="3" ref="AJ6:AJ12">SUM(Z6:AA6)</f>
        <v>3895</v>
      </c>
      <c r="AK6" s="15">
        <f aca="true" t="shared" si="4" ref="AK6:AK12">IF(AND(AJ6=0,AI6=0),0,IF(OR(AND(AJ6&gt;0,AI6&lt;=0),AND(AJ6&lt;0,AI6&gt;=0)),"nm",IF(AND(AJ6&lt;0,AI6&lt;0),IF(-(AJ6/AI6-1)*100&lt;-100,"(&gt;100)",-(AJ6/AI6-1)*100),IF((AJ6/AI6-1)*100&gt;100,"&gt;100",(AJ6/AI6-1)*100))))</f>
        <v>2.98783712321522</v>
      </c>
    </row>
    <row r="7" spans="3:39" s="36" customFormat="1" ht="14.25">
      <c r="C7" s="36" t="s">
        <v>17</v>
      </c>
      <c r="D7" s="21">
        <v>5051</v>
      </c>
      <c r="E7" s="21">
        <v>4075</v>
      </c>
      <c r="F7" s="21">
        <v>3937</v>
      </c>
      <c r="G7" s="21">
        <v>4571</v>
      </c>
      <c r="H7" s="19">
        <v>5644</v>
      </c>
      <c r="I7" s="21"/>
      <c r="J7" s="21">
        <v>1107</v>
      </c>
      <c r="K7" s="21">
        <v>1017</v>
      </c>
      <c r="L7" s="21">
        <v>983</v>
      </c>
      <c r="M7" s="21">
        <v>968</v>
      </c>
      <c r="N7" s="21">
        <v>934</v>
      </c>
      <c r="O7" s="21">
        <v>984</v>
      </c>
      <c r="P7" s="21">
        <v>1009</v>
      </c>
      <c r="Q7" s="21">
        <v>1011</v>
      </c>
      <c r="R7" s="21">
        <v>1018</v>
      </c>
      <c r="S7" s="21">
        <v>1080</v>
      </c>
      <c r="T7" s="21">
        <v>1175</v>
      </c>
      <c r="U7" s="21">
        <v>1298</v>
      </c>
      <c r="V7" s="21">
        <v>1374</v>
      </c>
      <c r="W7" s="21">
        <v>1411</v>
      </c>
      <c r="X7" s="19">
        <v>1434</v>
      </c>
      <c r="Y7" s="19">
        <v>1425</v>
      </c>
      <c r="Z7" s="19">
        <v>1467</v>
      </c>
      <c r="AA7" s="19">
        <v>1509</v>
      </c>
      <c r="AB7" s="301">
        <f>AG7-Z7-AA7</f>
        <v>1560</v>
      </c>
      <c r="AC7" s="19">
        <f t="shared" si="0"/>
        <v>3.379721669980129</v>
      </c>
      <c r="AD7" s="121">
        <f t="shared" si="1"/>
        <v>8.786610878661083</v>
      </c>
      <c r="AE7" s="34"/>
      <c r="AF7" s="19">
        <v>4219</v>
      </c>
      <c r="AG7" s="389">
        <v>4536</v>
      </c>
      <c r="AH7" s="19">
        <f t="shared" si="2"/>
        <v>7.513628821995733</v>
      </c>
      <c r="AI7" s="19">
        <v>2785</v>
      </c>
      <c r="AJ7" s="479">
        <f t="shared" si="3"/>
        <v>2976</v>
      </c>
      <c r="AK7" s="19">
        <f t="shared" si="4"/>
        <v>6.858168761220829</v>
      </c>
      <c r="AL7" s="34"/>
      <c r="AM7" s="34"/>
    </row>
    <row r="8" spans="3:39" s="36" customFormat="1" ht="14.25">
      <c r="C8" s="36" t="s">
        <v>18</v>
      </c>
      <c r="D8" s="21">
        <v>926</v>
      </c>
      <c r="E8" s="21">
        <v>378</v>
      </c>
      <c r="F8" s="21">
        <v>358</v>
      </c>
      <c r="G8" s="21">
        <v>532</v>
      </c>
      <c r="H8" s="19">
        <v>496</v>
      </c>
      <c r="I8" s="21"/>
      <c r="J8" s="21">
        <v>107</v>
      </c>
      <c r="K8" s="21">
        <v>95</v>
      </c>
      <c r="L8" s="21">
        <v>94</v>
      </c>
      <c r="M8" s="21">
        <v>82</v>
      </c>
      <c r="N8" s="21">
        <v>74</v>
      </c>
      <c r="O8" s="21">
        <v>82</v>
      </c>
      <c r="P8" s="21">
        <v>97</v>
      </c>
      <c r="Q8" s="21">
        <v>105</v>
      </c>
      <c r="R8" s="21">
        <v>123</v>
      </c>
      <c r="S8" s="21">
        <v>127</v>
      </c>
      <c r="T8" s="21">
        <v>142</v>
      </c>
      <c r="U8" s="21">
        <v>140</v>
      </c>
      <c r="V8" s="21">
        <v>119</v>
      </c>
      <c r="W8" s="21">
        <v>120</v>
      </c>
      <c r="X8" s="19">
        <v>139</v>
      </c>
      <c r="Y8" s="19">
        <v>118</v>
      </c>
      <c r="Z8" s="19">
        <v>110</v>
      </c>
      <c r="AA8" s="19">
        <v>111</v>
      </c>
      <c r="AB8" s="301">
        <f>AG8-Z8-AA8</f>
        <v>120</v>
      </c>
      <c r="AC8" s="19">
        <f t="shared" si="0"/>
        <v>8.108108108108114</v>
      </c>
      <c r="AD8" s="121">
        <f t="shared" si="1"/>
        <v>-13.669064748201443</v>
      </c>
      <c r="AE8" s="34"/>
      <c r="AF8" s="19">
        <v>378</v>
      </c>
      <c r="AG8" s="389">
        <v>341</v>
      </c>
      <c r="AH8" s="19">
        <f t="shared" si="2"/>
        <v>-9.788359788359791</v>
      </c>
      <c r="AI8" s="19">
        <v>239</v>
      </c>
      <c r="AJ8" s="479">
        <f t="shared" si="3"/>
        <v>221</v>
      </c>
      <c r="AK8" s="19">
        <f t="shared" si="4"/>
        <v>-7.531380753138073</v>
      </c>
      <c r="AL8" s="34"/>
      <c r="AM8" s="34"/>
    </row>
    <row r="9" spans="3:39" s="36" customFormat="1" ht="14.25">
      <c r="C9" s="36" t="s">
        <v>19</v>
      </c>
      <c r="D9" s="21">
        <v>2145</v>
      </c>
      <c r="E9" s="21">
        <v>1661</v>
      </c>
      <c r="F9" s="21">
        <v>1404</v>
      </c>
      <c r="G9" s="21">
        <v>1452</v>
      </c>
      <c r="H9" s="19">
        <v>1481</v>
      </c>
      <c r="I9" s="21"/>
      <c r="J9" s="21">
        <v>441</v>
      </c>
      <c r="K9" s="21">
        <v>431</v>
      </c>
      <c r="L9" s="21">
        <v>402</v>
      </c>
      <c r="M9" s="21">
        <v>387</v>
      </c>
      <c r="N9" s="21">
        <v>364</v>
      </c>
      <c r="O9" s="21">
        <v>343</v>
      </c>
      <c r="P9" s="21">
        <v>351</v>
      </c>
      <c r="Q9" s="21">
        <v>345</v>
      </c>
      <c r="R9" s="21">
        <v>344</v>
      </c>
      <c r="S9" s="21">
        <v>373</v>
      </c>
      <c r="T9" s="21">
        <v>359</v>
      </c>
      <c r="U9" s="21">
        <v>376</v>
      </c>
      <c r="V9" s="21">
        <v>377</v>
      </c>
      <c r="W9" s="21">
        <v>381</v>
      </c>
      <c r="X9" s="19">
        <v>366</v>
      </c>
      <c r="Y9" s="19">
        <v>357</v>
      </c>
      <c r="Z9" s="19">
        <v>343</v>
      </c>
      <c r="AA9" s="19">
        <v>355</v>
      </c>
      <c r="AB9" s="301">
        <f>AG9-Z9-AA9</f>
        <v>326</v>
      </c>
      <c r="AC9" s="19">
        <f t="shared" si="0"/>
        <v>-8.169014084507042</v>
      </c>
      <c r="AD9" s="121">
        <f t="shared" si="1"/>
        <v>-10.928961748633881</v>
      </c>
      <c r="AE9" s="34"/>
      <c r="AF9" s="19">
        <v>1124</v>
      </c>
      <c r="AG9" s="389">
        <v>1024</v>
      </c>
      <c r="AH9" s="19">
        <f t="shared" si="2"/>
        <v>-8.896797153024917</v>
      </c>
      <c r="AI9" s="19">
        <v>758</v>
      </c>
      <c r="AJ9" s="479">
        <f t="shared" si="3"/>
        <v>698</v>
      </c>
      <c r="AK9" s="19">
        <f t="shared" si="4"/>
        <v>-7.9155672823219</v>
      </c>
      <c r="AL9" s="34"/>
      <c r="AM9" s="34"/>
    </row>
    <row r="10" spans="2:37" s="31" customFormat="1" ht="15">
      <c r="B10" s="31" t="s">
        <v>24</v>
      </c>
      <c r="D10" s="15">
        <v>3821</v>
      </c>
      <c r="E10" s="15">
        <v>1659</v>
      </c>
      <c r="F10" s="15">
        <v>1381</v>
      </c>
      <c r="G10" s="15">
        <v>1730</v>
      </c>
      <c r="H10" s="15">
        <v>2336</v>
      </c>
      <c r="I10" s="15"/>
      <c r="J10" s="15">
        <v>579</v>
      </c>
      <c r="K10" s="15">
        <f>K11+K12</f>
        <v>431</v>
      </c>
      <c r="L10" s="15">
        <v>339</v>
      </c>
      <c r="M10" s="15">
        <v>310</v>
      </c>
      <c r="N10" s="15">
        <v>306</v>
      </c>
      <c r="O10" s="15">
        <v>342</v>
      </c>
      <c r="P10" s="15">
        <v>378</v>
      </c>
      <c r="Q10" s="15">
        <v>355</v>
      </c>
      <c r="R10" s="15">
        <v>363</v>
      </c>
      <c r="S10" s="15">
        <v>381</v>
      </c>
      <c r="T10" s="15">
        <v>462</v>
      </c>
      <c r="U10" s="15">
        <v>524</v>
      </c>
      <c r="V10" s="15">
        <v>534</v>
      </c>
      <c r="W10" s="15">
        <v>588</v>
      </c>
      <c r="X10" s="15">
        <v>607</v>
      </c>
      <c r="Y10" s="15">
        <v>607</v>
      </c>
      <c r="Z10" s="15">
        <v>593</v>
      </c>
      <c r="AA10" s="15">
        <f>SUM(AA11:AA12)</f>
        <v>593</v>
      </c>
      <c r="AB10" s="16">
        <f>AG10-Z10-AA10</f>
        <v>600</v>
      </c>
      <c r="AC10" s="15">
        <f t="shared" si="0"/>
        <v>1.180438448566612</v>
      </c>
      <c r="AD10" s="17">
        <f t="shared" si="1"/>
        <v>-1.1532125205930832</v>
      </c>
      <c r="AF10" s="15">
        <v>1729</v>
      </c>
      <c r="AG10" s="388">
        <f>SUM(AG11:AG12)</f>
        <v>1786</v>
      </c>
      <c r="AH10" s="15">
        <f t="shared" si="2"/>
        <v>3.296703296703307</v>
      </c>
      <c r="AI10" s="15">
        <v>1122</v>
      </c>
      <c r="AJ10" s="388">
        <f t="shared" si="3"/>
        <v>1186</v>
      </c>
      <c r="AK10" s="15">
        <f t="shared" si="4"/>
        <v>5.704099821746889</v>
      </c>
    </row>
    <row r="11" spans="3:39" s="36" customFormat="1" ht="14.25">
      <c r="C11" s="36" t="s">
        <v>21</v>
      </c>
      <c r="D11" s="21">
        <v>2395</v>
      </c>
      <c r="E11" s="21">
        <v>1131</v>
      </c>
      <c r="F11" s="21">
        <v>970</v>
      </c>
      <c r="G11" s="21">
        <v>1267</v>
      </c>
      <c r="H11" s="19">
        <v>1684</v>
      </c>
      <c r="I11" s="21"/>
      <c r="J11" s="21">
        <v>387</v>
      </c>
      <c r="K11" s="21">
        <v>297</v>
      </c>
      <c r="L11" s="21">
        <v>227</v>
      </c>
      <c r="M11" s="21">
        <v>219</v>
      </c>
      <c r="N11" s="21">
        <v>215</v>
      </c>
      <c r="O11" s="21">
        <v>241</v>
      </c>
      <c r="P11" s="21">
        <v>269</v>
      </c>
      <c r="Q11" s="21">
        <v>245</v>
      </c>
      <c r="R11" s="21">
        <v>263</v>
      </c>
      <c r="S11" s="21">
        <v>281</v>
      </c>
      <c r="T11" s="21">
        <v>342</v>
      </c>
      <c r="U11" s="21">
        <v>381</v>
      </c>
      <c r="V11" s="21">
        <v>381</v>
      </c>
      <c r="W11" s="21">
        <v>416</v>
      </c>
      <c r="X11" s="19">
        <v>444</v>
      </c>
      <c r="Y11" s="19">
        <v>443</v>
      </c>
      <c r="Z11" s="19">
        <v>437</v>
      </c>
      <c r="AA11" s="19">
        <v>442</v>
      </c>
      <c r="AB11" s="301">
        <f>AG11-Z11-AA11</f>
        <v>453</v>
      </c>
      <c r="AC11" s="19">
        <f t="shared" si="0"/>
        <v>2.488687782805421</v>
      </c>
      <c r="AD11" s="121">
        <f t="shared" si="1"/>
        <v>2.0270270270270174</v>
      </c>
      <c r="AE11" s="34"/>
      <c r="AF11" s="19">
        <v>1241</v>
      </c>
      <c r="AG11" s="389">
        <v>1332</v>
      </c>
      <c r="AH11" s="19">
        <f t="shared" si="2"/>
        <v>7.332796132151498</v>
      </c>
      <c r="AI11" s="19">
        <v>797</v>
      </c>
      <c r="AJ11" s="479">
        <f t="shared" si="3"/>
        <v>879</v>
      </c>
      <c r="AK11" s="19">
        <f t="shared" si="4"/>
        <v>10.288582183186957</v>
      </c>
      <c r="AL11" s="34"/>
      <c r="AM11" s="34"/>
    </row>
    <row r="12" spans="3:39" s="36" customFormat="1" ht="14.25">
      <c r="C12" s="36" t="s">
        <v>22</v>
      </c>
      <c r="D12" s="21">
        <v>1426</v>
      </c>
      <c r="E12" s="21">
        <v>528</v>
      </c>
      <c r="F12" s="21">
        <v>411</v>
      </c>
      <c r="G12" s="21">
        <v>463</v>
      </c>
      <c r="H12" s="19">
        <v>652</v>
      </c>
      <c r="I12" s="21"/>
      <c r="J12" s="21">
        <v>192</v>
      </c>
      <c r="K12" s="21">
        <v>134</v>
      </c>
      <c r="L12" s="21">
        <v>112</v>
      </c>
      <c r="M12" s="21">
        <v>91</v>
      </c>
      <c r="N12" s="21">
        <v>91</v>
      </c>
      <c r="O12" s="21">
        <v>101</v>
      </c>
      <c r="P12" s="21">
        <v>109</v>
      </c>
      <c r="Q12" s="21">
        <v>110</v>
      </c>
      <c r="R12" s="21">
        <v>100</v>
      </c>
      <c r="S12" s="21">
        <v>100</v>
      </c>
      <c r="T12" s="21">
        <v>120</v>
      </c>
      <c r="U12" s="21">
        <v>143</v>
      </c>
      <c r="V12" s="21">
        <v>153</v>
      </c>
      <c r="W12" s="21">
        <v>172</v>
      </c>
      <c r="X12" s="19">
        <v>163</v>
      </c>
      <c r="Y12" s="19">
        <v>164</v>
      </c>
      <c r="Z12" s="19">
        <v>156</v>
      </c>
      <c r="AA12" s="19">
        <v>151</v>
      </c>
      <c r="AB12" s="301">
        <f>AG12-Z12-AA12</f>
        <v>147</v>
      </c>
      <c r="AC12" s="19">
        <f t="shared" si="0"/>
        <v>-2.6490066225165587</v>
      </c>
      <c r="AD12" s="121">
        <f t="shared" si="1"/>
        <v>-9.815950920245397</v>
      </c>
      <c r="AE12" s="34"/>
      <c r="AF12" s="19">
        <v>488</v>
      </c>
      <c r="AG12" s="389">
        <v>454</v>
      </c>
      <c r="AH12" s="19">
        <f>IF(AND(AG12=0,AF12=0),0,IF(OR(AND(AG12&gt;0,AF12&lt;=0),AND(AG12&lt;0,AF12&gt;=0)),"nm",IF(AND(AG12&lt;0,AF12&lt;0),IF(-(AG12/AF12-1)*100&lt;-100,"(&gt;100)",-(AG12/AF12-1)*100),IF((AG12/AF12-1)*100&gt;100,"&gt;100",(AG12/AF12-1)*100))))</f>
        <v>-6.9672131147541005</v>
      </c>
      <c r="AI12" s="19">
        <v>325</v>
      </c>
      <c r="AJ12" s="479">
        <f t="shared" si="3"/>
        <v>307</v>
      </c>
      <c r="AK12" s="19">
        <f t="shared" si="4"/>
        <v>-5.5384615384615365</v>
      </c>
      <c r="AL12" s="34"/>
      <c r="AM12" s="34"/>
    </row>
    <row r="13" spans="3:36" ht="15">
      <c r="C13" s="33"/>
      <c r="D13" s="21"/>
      <c r="H13" s="19"/>
      <c r="R13" s="289"/>
      <c r="S13" s="289"/>
      <c r="T13" s="289"/>
      <c r="U13" s="289"/>
      <c r="V13" s="289"/>
      <c r="W13" s="289"/>
      <c r="X13" s="19"/>
      <c r="Y13" s="19"/>
      <c r="AA13" s="499"/>
      <c r="AB13" s="503"/>
      <c r="AC13" s="19"/>
      <c r="AD13" s="19"/>
      <c r="AE13" s="23"/>
      <c r="AF13" s="19"/>
      <c r="AG13" s="16"/>
      <c r="AH13" s="19"/>
      <c r="AJ13" s="467"/>
    </row>
    <row r="14" spans="1:37" s="24" customFormat="1" ht="15">
      <c r="A14" s="88" t="s">
        <v>29</v>
      </c>
      <c r="D14" s="15"/>
      <c r="E14" s="15"/>
      <c r="F14" s="15"/>
      <c r="G14" s="15"/>
      <c r="H14" s="15"/>
      <c r="I14" s="15"/>
      <c r="J14" s="15"/>
      <c r="K14" s="15"/>
      <c r="L14" s="15"/>
      <c r="M14" s="15"/>
      <c r="N14" s="15"/>
      <c r="O14" s="15"/>
      <c r="P14" s="15"/>
      <c r="Q14" s="15"/>
      <c r="R14" s="15"/>
      <c r="S14" s="15"/>
      <c r="T14" s="15"/>
      <c r="U14" s="15"/>
      <c r="V14" s="15"/>
      <c r="W14" s="15"/>
      <c r="X14" s="15"/>
      <c r="Y14" s="15"/>
      <c r="Z14" s="15"/>
      <c r="AA14" s="500"/>
      <c r="AB14" s="502"/>
      <c r="AC14" s="15"/>
      <c r="AD14" s="15"/>
      <c r="AF14" s="15"/>
      <c r="AG14" s="502"/>
      <c r="AH14" s="15"/>
      <c r="AI14" s="15"/>
      <c r="AJ14" s="467"/>
      <c r="AK14" s="15"/>
    </row>
    <row r="15" spans="2:37" s="31" customFormat="1" ht="15">
      <c r="B15" s="31" t="s">
        <v>16</v>
      </c>
      <c r="D15" s="15">
        <v>210460</v>
      </c>
      <c r="E15" s="15">
        <v>220645</v>
      </c>
      <c r="F15" s="15">
        <v>234707</v>
      </c>
      <c r="G15" s="15">
        <v>272934</v>
      </c>
      <c r="H15" s="15">
        <v>311245</v>
      </c>
      <c r="I15" s="15"/>
      <c r="J15" s="15">
        <v>219123</v>
      </c>
      <c r="K15" s="15">
        <f>K16+K17+K18</f>
        <v>221667</v>
      </c>
      <c r="L15" s="15">
        <v>222325</v>
      </c>
      <c r="M15" s="15">
        <v>221462</v>
      </c>
      <c r="N15" s="15">
        <v>224393</v>
      </c>
      <c r="O15" s="15">
        <v>232950</v>
      </c>
      <c r="P15" s="15">
        <v>237792</v>
      </c>
      <c r="Q15" s="15">
        <v>244503</v>
      </c>
      <c r="R15" s="290">
        <v>252722</v>
      </c>
      <c r="S15" s="290">
        <v>266348</v>
      </c>
      <c r="T15" s="290">
        <v>278383</v>
      </c>
      <c r="U15" s="290">
        <v>295148</v>
      </c>
      <c r="V15" s="290">
        <v>303630</v>
      </c>
      <c r="W15" s="290">
        <v>308625</v>
      </c>
      <c r="X15" s="290">
        <v>317627</v>
      </c>
      <c r="Y15" s="290">
        <v>316462</v>
      </c>
      <c r="Z15" s="290">
        <v>328566</v>
      </c>
      <c r="AA15" s="290">
        <f>SUM(AA16:AA18)</f>
        <v>341719</v>
      </c>
      <c r="AB15" s="390">
        <f>SUM(AB16:AB18)</f>
        <v>349022</v>
      </c>
      <c r="AC15" s="15">
        <f aca="true" t="shared" si="5" ref="AC15:AC21">IF(AND(AB15=0,AB15=0),0,IF(OR(AND(AB15&gt;0,AA15&lt;=0),AND(AB15&lt;0,AA15&gt;=0)),"nm",IF(AND(AB15&lt;0,AA15&lt;0),IF(-(AB15/AA15-1)*100&lt;-100,"(&gt;100)",-(AB15/AA15-1)*100),IF((AB15/AA15-1)*100&gt;100,"&gt;100",(AB15/AA15-1)*100))))</f>
        <v>2.1371360679388607</v>
      </c>
      <c r="AD15" s="17">
        <f aca="true" t="shared" si="6" ref="AD15:AD21">IF(AND(AB15=0,X15=0),0,IF(OR(AND(AB15&gt;0,X15&lt;=0),AND(AB15&lt;0,X15&gt;=0)),"nm",IF(AND(AB15&lt;0,X15&lt;0),IF(-(AB15/X15-1)*100&lt;-100,"(&gt;100)",-(AB15/X15-1)*100),IF((AB15/X15-1)*100&gt;100,"&gt;100",(AB15/X15-1)*100))))</f>
        <v>9.884235282265053</v>
      </c>
      <c r="AF15" s="15">
        <v>309922</v>
      </c>
      <c r="AG15" s="390">
        <f>SUM(AG16:AG18)</f>
        <v>340409</v>
      </c>
      <c r="AH15" s="15">
        <f>IF(AND(AG15=0,AF15=0),0,IF(OR(AND(AG15&gt;0,AF15&lt;=0),AND(AG15&lt;0,AF15&gt;=0)),"nm",IF(AND(AG15&lt;0,AF15&lt;0),IF(-(AG15/AF15-1)*100&lt;-100,"(&gt;100)",-(AG15/AF15-1)*100),IF((AG15/AF15-1)*100&gt;100,"&gt;100",(AG15/AF15-1)*100))))</f>
        <v>9.836991242957914</v>
      </c>
      <c r="AI15" s="15">
        <v>305776</v>
      </c>
      <c r="AJ15" s="390">
        <f>SUM(AJ16:AJ18)</f>
        <v>335177</v>
      </c>
      <c r="AK15" s="15">
        <f aca="true" t="shared" si="7" ref="AK15:AK21">IF(AND(AJ15=0,AI15=0),0,IF(OR(AND(AJ15&gt;0,AI15&lt;=0),AND(AJ15&lt;0,AI15&gt;=0)),"nm",IF(AND(AJ15&lt;0,AI15&lt;0),IF(-(AJ15/AI15-1)*100&lt;-100,"(&gt;100)",-(AJ15/AI15-1)*100),IF((AJ15/AI15-1)*100&gt;100,"&gt;100",(AJ15/AI15-1)*100))))</f>
        <v>9.615208518654184</v>
      </c>
    </row>
    <row r="16" spans="3:37" s="36" customFormat="1" ht="14.25">
      <c r="C16" s="36" t="s">
        <v>17</v>
      </c>
      <c r="D16" s="21">
        <v>118614</v>
      </c>
      <c r="E16" s="21">
        <v>127832</v>
      </c>
      <c r="F16" s="21">
        <v>141245</v>
      </c>
      <c r="G16" s="21">
        <v>169397</v>
      </c>
      <c r="H16" s="19">
        <v>200976</v>
      </c>
      <c r="I16" s="21"/>
      <c r="J16" s="21">
        <v>128695</v>
      </c>
      <c r="K16" s="21">
        <v>127447</v>
      </c>
      <c r="L16" s="21">
        <v>127454</v>
      </c>
      <c r="M16" s="21">
        <v>128152</v>
      </c>
      <c r="N16" s="21">
        <v>132388</v>
      </c>
      <c r="O16" s="21">
        <v>138617</v>
      </c>
      <c r="P16" s="21">
        <v>145902</v>
      </c>
      <c r="Q16" s="21">
        <v>149104</v>
      </c>
      <c r="R16" s="291">
        <v>154232</v>
      </c>
      <c r="S16" s="291">
        <v>161278</v>
      </c>
      <c r="T16" s="291">
        <v>173409</v>
      </c>
      <c r="U16" s="291">
        <v>189292</v>
      </c>
      <c r="V16" s="291">
        <v>194566</v>
      </c>
      <c r="W16" s="291">
        <v>201099</v>
      </c>
      <c r="X16" s="391">
        <v>204122</v>
      </c>
      <c r="Y16" s="391">
        <v>204701</v>
      </c>
      <c r="Z16" s="391">
        <v>218702</v>
      </c>
      <c r="AA16" s="391">
        <v>228998</v>
      </c>
      <c r="AB16" s="392">
        <v>237705</v>
      </c>
      <c r="AC16" s="19">
        <f t="shared" si="5"/>
        <v>3.802216613245535</v>
      </c>
      <c r="AD16" s="121">
        <f t="shared" si="6"/>
        <v>16.45241571217213</v>
      </c>
      <c r="AE16" s="34"/>
      <c r="AF16" s="19">
        <v>199638</v>
      </c>
      <c r="AG16" s="392">
        <v>228631</v>
      </c>
      <c r="AH16" s="19">
        <f aca="true" t="shared" si="8" ref="AH16:AH21">IF(AND(AG16=0,AF16=0),0,IF(OR(AND(AG16&gt;0,AF16&lt;=0),AND(AG16&lt;0,AF16&gt;=0)),"nm",IF(AND(AG16&lt;0,AF16&lt;0),IF(-(AG16/AF16-1)*100&lt;-100,"(&gt;100)",-(AG16/AF16-1)*100),IF((AG16/AF16-1)*100&gt;100,"&gt;100",(AG16/AF16-1)*100))))</f>
        <v>14.522786243100017</v>
      </c>
      <c r="AI16" s="19">
        <v>197867</v>
      </c>
      <c r="AJ16" s="392">
        <v>223876</v>
      </c>
      <c r="AK16" s="19">
        <f t="shared" si="7"/>
        <v>13.144688098571255</v>
      </c>
    </row>
    <row r="17" spans="3:37" s="36" customFormat="1" ht="14.25">
      <c r="C17" s="36" t="s">
        <v>18</v>
      </c>
      <c r="D17" s="21">
        <v>39818</v>
      </c>
      <c r="E17" s="21">
        <v>41782</v>
      </c>
      <c r="F17" s="21">
        <v>43190</v>
      </c>
      <c r="G17" s="21">
        <v>51575</v>
      </c>
      <c r="H17" s="19">
        <v>50140</v>
      </c>
      <c r="I17" s="21"/>
      <c r="J17" s="21">
        <v>41384</v>
      </c>
      <c r="K17" s="21">
        <v>42582</v>
      </c>
      <c r="L17" s="21">
        <v>42410</v>
      </c>
      <c r="M17" s="21">
        <v>41697</v>
      </c>
      <c r="N17" s="21">
        <v>42548</v>
      </c>
      <c r="O17" s="21">
        <v>43195</v>
      </c>
      <c r="P17" s="21">
        <v>40880</v>
      </c>
      <c r="Q17" s="21">
        <v>46548</v>
      </c>
      <c r="R17" s="291">
        <v>49926</v>
      </c>
      <c r="S17" s="291">
        <v>53737</v>
      </c>
      <c r="T17" s="291">
        <v>51543</v>
      </c>
      <c r="U17" s="291">
        <v>51118</v>
      </c>
      <c r="V17" s="291">
        <v>50895</v>
      </c>
      <c r="W17" s="291">
        <v>47971</v>
      </c>
      <c r="X17" s="391">
        <v>53988</v>
      </c>
      <c r="Y17" s="391">
        <v>48659</v>
      </c>
      <c r="Z17" s="391">
        <v>44935</v>
      </c>
      <c r="AA17" s="391">
        <v>46538</v>
      </c>
      <c r="AB17" s="392">
        <v>47921</v>
      </c>
      <c r="AC17" s="19">
        <f t="shared" si="5"/>
        <v>2.9717650092397685</v>
      </c>
      <c r="AD17" s="121">
        <f t="shared" si="6"/>
        <v>-11.237682447951391</v>
      </c>
      <c r="AE17" s="34"/>
      <c r="AF17" s="19">
        <v>51375</v>
      </c>
      <c r="AG17" s="392">
        <v>47156</v>
      </c>
      <c r="AH17" s="19">
        <f>IF(AND(AG17=0,AF17=0),0,IF(OR(AND(AG17&gt;0,AF17&lt;=0),AND(AG17&lt;0,AF17&gt;=0)),"nm",IF(AND(AG17&lt;0,AF17&lt;0),IF(-(AG17/AF17-1)*100&lt;-100,"(&gt;100)",-(AG17/AF17-1)*100),IF((AG17/AF17-1)*100&gt;100,"&gt;100",(AG17/AF17-1)*100))))</f>
        <v>-8.212165450121656</v>
      </c>
      <c r="AI17" s="19">
        <v>49223</v>
      </c>
      <c r="AJ17" s="392">
        <v>45902</v>
      </c>
      <c r="AK17" s="19">
        <f t="shared" si="7"/>
        <v>-6.746845986632266</v>
      </c>
    </row>
    <row r="18" spans="3:37" s="36" customFormat="1" ht="14.25">
      <c r="C18" s="36" t="s">
        <v>19</v>
      </c>
      <c r="D18" s="21">
        <v>52028</v>
      </c>
      <c r="E18" s="21">
        <v>51031</v>
      </c>
      <c r="F18" s="21">
        <v>50272</v>
      </c>
      <c r="G18" s="21">
        <v>51962</v>
      </c>
      <c r="H18" s="19">
        <v>60129</v>
      </c>
      <c r="I18" s="21"/>
      <c r="J18" s="21">
        <v>49044</v>
      </c>
      <c r="K18" s="21">
        <v>51638</v>
      </c>
      <c r="L18" s="21">
        <v>52461</v>
      </c>
      <c r="M18" s="21">
        <v>51613</v>
      </c>
      <c r="N18" s="21">
        <v>49457</v>
      </c>
      <c r="O18" s="21">
        <v>51138</v>
      </c>
      <c r="P18" s="21">
        <v>51010</v>
      </c>
      <c r="Q18" s="21">
        <v>48851</v>
      </c>
      <c r="R18" s="291">
        <v>48564</v>
      </c>
      <c r="S18" s="291">
        <v>51333</v>
      </c>
      <c r="T18" s="291">
        <v>53431</v>
      </c>
      <c r="U18" s="291">
        <v>54738</v>
      </c>
      <c r="V18" s="291">
        <v>58169</v>
      </c>
      <c r="W18" s="291">
        <v>59555</v>
      </c>
      <c r="X18" s="391">
        <v>59517</v>
      </c>
      <c r="Y18" s="391">
        <v>63102</v>
      </c>
      <c r="Z18" s="391">
        <v>64929</v>
      </c>
      <c r="AA18" s="391">
        <v>66183</v>
      </c>
      <c r="AB18" s="392">
        <v>63396</v>
      </c>
      <c r="AC18" s="19">
        <f t="shared" si="5"/>
        <v>-4.2110511762839415</v>
      </c>
      <c r="AD18" s="121">
        <f t="shared" si="6"/>
        <v>6.517465598064409</v>
      </c>
      <c r="AE18" s="34"/>
      <c r="AF18" s="19">
        <v>58909</v>
      </c>
      <c r="AG18" s="392">
        <v>64622</v>
      </c>
      <c r="AH18" s="19">
        <f t="shared" si="8"/>
        <v>9.698008793223444</v>
      </c>
      <c r="AI18" s="19">
        <v>58686</v>
      </c>
      <c r="AJ18" s="392">
        <v>65399</v>
      </c>
      <c r="AK18" s="19">
        <f t="shared" si="7"/>
        <v>11.438844017312476</v>
      </c>
    </row>
    <row r="19" spans="2:37" s="31" customFormat="1" ht="15">
      <c r="B19" s="31" t="s">
        <v>20</v>
      </c>
      <c r="D19" s="15">
        <v>199865</v>
      </c>
      <c r="E19" s="15">
        <v>204336</v>
      </c>
      <c r="F19" s="15">
        <v>215626</v>
      </c>
      <c r="G19" s="15">
        <v>251411</v>
      </c>
      <c r="H19" s="15">
        <v>287904</v>
      </c>
      <c r="I19" s="15"/>
      <c r="J19" s="15">
        <v>203691</v>
      </c>
      <c r="K19" s="15">
        <f>K20+K21</f>
        <v>206050</v>
      </c>
      <c r="L19" s="15">
        <v>205904</v>
      </c>
      <c r="M19" s="15">
        <v>203560</v>
      </c>
      <c r="N19" s="15">
        <v>206483</v>
      </c>
      <c r="O19" s="15">
        <v>214221</v>
      </c>
      <c r="P19" s="15">
        <v>218581</v>
      </c>
      <c r="Q19" s="15">
        <v>224126</v>
      </c>
      <c r="R19" s="290">
        <v>231711</v>
      </c>
      <c r="S19" s="290">
        <v>245246</v>
      </c>
      <c r="T19" s="290">
        <v>257046</v>
      </c>
      <c r="U19" s="290">
        <v>272616</v>
      </c>
      <c r="V19" s="290">
        <v>281437</v>
      </c>
      <c r="W19" s="290">
        <v>285228</v>
      </c>
      <c r="X19" s="290">
        <v>293945</v>
      </c>
      <c r="Y19" s="290">
        <v>292372</v>
      </c>
      <c r="Z19" s="290">
        <v>304506</v>
      </c>
      <c r="AA19" s="290">
        <v>317276</v>
      </c>
      <c r="AB19" s="390">
        <f>SUM(AB20:AB21)</f>
        <v>326398</v>
      </c>
      <c r="AC19" s="15">
        <f t="shared" si="5"/>
        <v>2.8750992826435118</v>
      </c>
      <c r="AD19" s="17">
        <f t="shared" si="6"/>
        <v>11.04050077395431</v>
      </c>
      <c r="AF19" s="15">
        <v>286763</v>
      </c>
      <c r="AG19" s="390">
        <f>SUM(AG20:AG21)</f>
        <v>316755</v>
      </c>
      <c r="AH19" s="15">
        <f t="shared" si="8"/>
        <v>10.458810934465056</v>
      </c>
      <c r="AI19" s="15">
        <v>282928</v>
      </c>
      <c r="AJ19" s="390">
        <f>SUM(AJ20:AJ21)</f>
        <v>310954</v>
      </c>
      <c r="AK19" s="15">
        <f t="shared" si="7"/>
        <v>9.905700390205286</v>
      </c>
    </row>
    <row r="20" spans="3:37" s="36" customFormat="1" ht="14.25">
      <c r="C20" s="36" t="s">
        <v>21</v>
      </c>
      <c r="D20" s="21">
        <v>161379</v>
      </c>
      <c r="E20" s="21">
        <v>178064</v>
      </c>
      <c r="F20" s="21">
        <v>184792</v>
      </c>
      <c r="G20" s="21">
        <v>209196</v>
      </c>
      <c r="H20" s="19">
        <v>233866</v>
      </c>
      <c r="I20" s="21"/>
      <c r="J20" s="21">
        <v>175464</v>
      </c>
      <c r="K20" s="21">
        <v>177983</v>
      </c>
      <c r="L20" s="21">
        <v>179319</v>
      </c>
      <c r="M20" s="21">
        <v>180701</v>
      </c>
      <c r="N20" s="21">
        <v>181335</v>
      </c>
      <c r="O20" s="21">
        <v>182951</v>
      </c>
      <c r="P20" s="21">
        <v>184815</v>
      </c>
      <c r="Q20" s="21">
        <v>189502</v>
      </c>
      <c r="R20" s="291">
        <v>195404</v>
      </c>
      <c r="S20" s="291">
        <v>205628</v>
      </c>
      <c r="T20" s="291">
        <v>213303</v>
      </c>
      <c r="U20" s="291">
        <v>222999</v>
      </c>
      <c r="V20" s="291">
        <v>228621</v>
      </c>
      <c r="W20" s="291">
        <v>229600</v>
      </c>
      <c r="X20" s="391">
        <v>236021</v>
      </c>
      <c r="Y20" s="391">
        <v>241554</v>
      </c>
      <c r="Z20" s="391">
        <v>250702</v>
      </c>
      <c r="AA20" s="391">
        <v>255323</v>
      </c>
      <c r="AB20" s="392">
        <v>262957</v>
      </c>
      <c r="AC20" s="19">
        <f t="shared" si="5"/>
        <v>2.9899382350982773</v>
      </c>
      <c r="AD20" s="121">
        <f t="shared" si="6"/>
        <v>11.41254379906873</v>
      </c>
      <c r="AE20" s="34"/>
      <c r="AF20" s="19">
        <v>231421</v>
      </c>
      <c r="AG20" s="392">
        <v>257108</v>
      </c>
      <c r="AH20" s="19">
        <f>IF(AND(AG20=0,AF20=0),0,IF(OR(AND(AG20&gt;0,AF20&lt;=0),AND(AG20&lt;0,AF20&gt;=0)),"nm",IF(AND(AG20&lt;0,AF20&lt;0),IF(-(AG20/AF20-1)*100&lt;-100,"(&gt;100)",-(AG20/AF20-1)*100),IF((AG20/AF20-1)*100&gt;100,"&gt;100",(AG20/AF20-1)*100))))</f>
        <v>11.099684125468311</v>
      </c>
      <c r="AI20" s="19">
        <v>228671</v>
      </c>
      <c r="AJ20" s="392">
        <v>253327</v>
      </c>
      <c r="AK20" s="19">
        <f t="shared" si="7"/>
        <v>10.782302959273359</v>
      </c>
    </row>
    <row r="21" spans="3:37" s="36" customFormat="1" ht="14.25">
      <c r="C21" s="36" t="s">
        <v>22</v>
      </c>
      <c r="D21" s="21">
        <v>38486</v>
      </c>
      <c r="E21" s="21">
        <v>26272</v>
      </c>
      <c r="F21" s="21">
        <v>30834</v>
      </c>
      <c r="G21" s="21">
        <v>42215</v>
      </c>
      <c r="H21" s="19">
        <v>54038</v>
      </c>
      <c r="I21" s="21"/>
      <c r="J21" s="21">
        <v>28227</v>
      </c>
      <c r="K21" s="21">
        <v>28067</v>
      </c>
      <c r="L21" s="21">
        <v>26585</v>
      </c>
      <c r="M21" s="21">
        <v>22859</v>
      </c>
      <c r="N21" s="21">
        <v>25148</v>
      </c>
      <c r="O21" s="21">
        <v>31270</v>
      </c>
      <c r="P21" s="21">
        <v>33766</v>
      </c>
      <c r="Q21" s="21">
        <v>34624</v>
      </c>
      <c r="R21" s="291">
        <v>36307</v>
      </c>
      <c r="S21" s="291">
        <v>39618</v>
      </c>
      <c r="T21" s="291">
        <v>43743</v>
      </c>
      <c r="U21" s="291">
        <v>49617</v>
      </c>
      <c r="V21" s="291">
        <v>52816</v>
      </c>
      <c r="W21" s="291">
        <v>55628</v>
      </c>
      <c r="X21" s="391">
        <v>57924</v>
      </c>
      <c r="Y21" s="391">
        <v>50818</v>
      </c>
      <c r="Z21" s="391">
        <v>53804</v>
      </c>
      <c r="AA21" s="391">
        <v>61953</v>
      </c>
      <c r="AB21" s="392">
        <v>63441</v>
      </c>
      <c r="AC21" s="19">
        <f t="shared" si="5"/>
        <v>2.4018207350733567</v>
      </c>
      <c r="AD21" s="121">
        <f t="shared" si="6"/>
        <v>9.52454940957117</v>
      </c>
      <c r="AE21" s="34"/>
      <c r="AF21" s="19">
        <v>55342</v>
      </c>
      <c r="AG21" s="392">
        <v>59647</v>
      </c>
      <c r="AH21" s="19">
        <f t="shared" si="8"/>
        <v>7.778902099671137</v>
      </c>
      <c r="AI21" s="19">
        <v>54257</v>
      </c>
      <c r="AJ21" s="392">
        <v>57627</v>
      </c>
      <c r="AK21" s="19">
        <f t="shared" si="7"/>
        <v>6.211180124223592</v>
      </c>
    </row>
    <row r="22" spans="3:36" ht="14.25">
      <c r="C22" s="6"/>
      <c r="D22" s="76"/>
      <c r="H22" s="19"/>
      <c r="X22" s="19"/>
      <c r="Y22" s="19"/>
      <c r="AA22" s="499"/>
      <c r="AB22" s="503"/>
      <c r="AC22" s="19"/>
      <c r="AD22" s="19"/>
      <c r="AE22" s="23"/>
      <c r="AF22" s="19"/>
      <c r="AG22" s="503"/>
      <c r="AH22" s="19"/>
      <c r="AJ22" s="468"/>
    </row>
    <row r="23" spans="1:37" s="27" customFormat="1" ht="15">
      <c r="A23" s="48" t="s">
        <v>28</v>
      </c>
      <c r="D23" s="54"/>
      <c r="E23" s="54"/>
      <c r="F23" s="54"/>
      <c r="G23" s="54"/>
      <c r="H23" s="54"/>
      <c r="I23" s="54"/>
      <c r="J23" s="54"/>
      <c r="K23" s="54"/>
      <c r="L23" s="54"/>
      <c r="M23" s="54"/>
      <c r="N23" s="54"/>
      <c r="O23" s="54"/>
      <c r="P23" s="54"/>
      <c r="Q23" s="54"/>
      <c r="R23" s="297"/>
      <c r="S23" s="297"/>
      <c r="T23" s="297"/>
      <c r="U23" s="297"/>
      <c r="V23" s="297"/>
      <c r="W23" s="297"/>
      <c r="X23" s="54"/>
      <c r="Y23" s="54"/>
      <c r="Z23" s="54"/>
      <c r="AA23" s="501"/>
      <c r="AB23" s="504"/>
      <c r="AC23" s="54"/>
      <c r="AD23" s="54"/>
      <c r="AF23" s="54"/>
      <c r="AG23" s="563"/>
      <c r="AH23" s="54"/>
      <c r="AI23" s="54"/>
      <c r="AJ23" s="469"/>
      <c r="AK23" s="54"/>
    </row>
    <row r="24" spans="1:37" s="57" customFormat="1" ht="15">
      <c r="A24" s="57" t="s">
        <v>173</v>
      </c>
      <c r="D24" s="54">
        <v>2.04</v>
      </c>
      <c r="E24" s="54">
        <v>2.02</v>
      </c>
      <c r="F24" s="54">
        <v>1.84</v>
      </c>
      <c r="G24" s="54">
        <v>1.77</v>
      </c>
      <c r="H24" s="54">
        <v>1.7</v>
      </c>
      <c r="I24" s="54"/>
      <c r="J24" s="54">
        <v>1.99</v>
      </c>
      <c r="K24" s="116">
        <v>2.01</v>
      </c>
      <c r="L24" s="116">
        <v>2.03</v>
      </c>
      <c r="M24" s="116">
        <v>2.02</v>
      </c>
      <c r="N24" s="116">
        <v>1.93</v>
      </c>
      <c r="O24" s="116">
        <v>1.84</v>
      </c>
      <c r="P24" s="116">
        <v>1.8</v>
      </c>
      <c r="Q24" s="116">
        <v>1.79</v>
      </c>
      <c r="R24" s="298">
        <v>1.8</v>
      </c>
      <c r="S24" s="298">
        <v>1.8</v>
      </c>
      <c r="T24" s="298">
        <v>1.73</v>
      </c>
      <c r="U24" s="298">
        <v>1.73</v>
      </c>
      <c r="V24" s="298">
        <v>1.77</v>
      </c>
      <c r="W24" s="298">
        <v>1.72</v>
      </c>
      <c r="X24" s="298">
        <v>1.67</v>
      </c>
      <c r="Y24" s="298">
        <v>1.62</v>
      </c>
      <c r="Z24" s="298">
        <v>1.64</v>
      </c>
      <c r="AA24" s="298">
        <v>1.62</v>
      </c>
      <c r="AB24" s="393">
        <v>1.6</v>
      </c>
      <c r="AC24" s="54">
        <f>AB24-AA24</f>
        <v>-0.020000000000000018</v>
      </c>
      <c r="AD24" s="54">
        <f>AB24-X24</f>
        <v>-0.06999999999999984</v>
      </c>
      <c r="AF24" s="54">
        <v>1.72</v>
      </c>
      <c r="AG24" s="393">
        <v>1.62</v>
      </c>
      <c r="AH24" s="54">
        <f>AG24-AF24</f>
        <v>-0.09999999999999987</v>
      </c>
      <c r="AI24" s="54">
        <v>1.75</v>
      </c>
      <c r="AJ24" s="478">
        <v>1.63</v>
      </c>
      <c r="AK24" s="54">
        <f>AJ24-AI24</f>
        <v>-0.1200000000000001</v>
      </c>
    </row>
    <row r="25" spans="2:37" s="27" customFormat="1" ht="15">
      <c r="B25" s="27" t="s">
        <v>46</v>
      </c>
      <c r="D25" s="54">
        <v>3.86</v>
      </c>
      <c r="E25" s="54">
        <v>2.78</v>
      </c>
      <c r="F25" s="54">
        <v>2.43</v>
      </c>
      <c r="G25" s="54">
        <v>2.4</v>
      </c>
      <c r="H25" s="54">
        <v>2.45</v>
      </c>
      <c r="I25" s="54"/>
      <c r="J25" s="54">
        <v>3.06</v>
      </c>
      <c r="K25" s="54">
        <v>2.79</v>
      </c>
      <c r="L25" s="54">
        <v>2.64</v>
      </c>
      <c r="M25" s="54">
        <v>2.57</v>
      </c>
      <c r="N25" s="54">
        <v>2.48</v>
      </c>
      <c r="O25" s="54">
        <v>2.43</v>
      </c>
      <c r="P25" s="54">
        <v>2.43</v>
      </c>
      <c r="Q25" s="54">
        <v>2.37</v>
      </c>
      <c r="R25" s="9">
        <v>2.38</v>
      </c>
      <c r="S25" s="9">
        <v>2.38</v>
      </c>
      <c r="T25" s="9">
        <v>2.38</v>
      </c>
      <c r="U25" s="9">
        <v>2.44</v>
      </c>
      <c r="V25" s="9">
        <v>2.48</v>
      </c>
      <c r="W25" s="9">
        <v>2.49</v>
      </c>
      <c r="X25" s="9">
        <v>2.43</v>
      </c>
      <c r="Y25" s="9">
        <v>2.39</v>
      </c>
      <c r="Z25" s="298">
        <v>2.37</v>
      </c>
      <c r="AA25" s="298">
        <v>2.32</v>
      </c>
      <c r="AB25" s="393">
        <v>2.28</v>
      </c>
      <c r="AC25" s="54">
        <f aca="true" t="shared" si="9" ref="AC25:AC31">AB25-AA25</f>
        <v>-0.040000000000000036</v>
      </c>
      <c r="AD25" s="54">
        <f aca="true" t="shared" si="10" ref="AD25:AD31">AB25-X25</f>
        <v>-0.15000000000000036</v>
      </c>
      <c r="AF25" s="54">
        <v>2.47</v>
      </c>
      <c r="AG25" s="393">
        <v>2.32</v>
      </c>
      <c r="AH25" s="54">
        <f aca="true" t="shared" si="11" ref="AH25:AH31">AG25-AF25</f>
        <v>-0.15000000000000036</v>
      </c>
      <c r="AI25" s="54">
        <v>2.49</v>
      </c>
      <c r="AJ25" s="393">
        <v>2.34</v>
      </c>
      <c r="AK25" s="54">
        <f aca="true" t="shared" si="12" ref="AK25:AK31">AJ25-AI25</f>
        <v>-0.15000000000000036</v>
      </c>
    </row>
    <row r="26" spans="3:37" s="56" customFormat="1" ht="14.25">
      <c r="C26" s="56" t="s">
        <v>17</v>
      </c>
      <c r="D26" s="51">
        <v>4.25</v>
      </c>
      <c r="E26" s="51">
        <v>3.2</v>
      </c>
      <c r="F26" s="51">
        <v>2.79</v>
      </c>
      <c r="G26" s="51">
        <v>2.7</v>
      </c>
      <c r="H26" s="302">
        <v>2.81</v>
      </c>
      <c r="I26" s="51"/>
      <c r="J26" s="51">
        <v>3.49</v>
      </c>
      <c r="K26" s="51">
        <v>3.2</v>
      </c>
      <c r="L26" s="51">
        <v>3.06</v>
      </c>
      <c r="M26" s="51">
        <v>3</v>
      </c>
      <c r="N26" s="51">
        <v>2.86</v>
      </c>
      <c r="O26" s="51">
        <v>2.85</v>
      </c>
      <c r="P26" s="51">
        <v>2.74</v>
      </c>
      <c r="Q26" s="51">
        <v>2.69</v>
      </c>
      <c r="R26" s="76">
        <v>2.68</v>
      </c>
      <c r="S26" s="76">
        <v>2.68</v>
      </c>
      <c r="T26" s="76">
        <v>2.69</v>
      </c>
      <c r="U26" s="76">
        <v>2.72</v>
      </c>
      <c r="V26" s="76">
        <v>2.84</v>
      </c>
      <c r="W26" s="76">
        <v>2.82</v>
      </c>
      <c r="X26" s="126">
        <v>2.8</v>
      </c>
      <c r="Y26" s="126">
        <v>2.77</v>
      </c>
      <c r="Z26" s="438">
        <v>2.72</v>
      </c>
      <c r="AA26" s="438">
        <v>2.64</v>
      </c>
      <c r="AB26" s="564">
        <v>2.6</v>
      </c>
      <c r="AC26" s="302">
        <f t="shared" si="9"/>
        <v>-0.040000000000000036</v>
      </c>
      <c r="AD26" s="302">
        <f t="shared" si="10"/>
        <v>-0.19999999999999973</v>
      </c>
      <c r="AE26" s="59"/>
      <c r="AF26" s="302">
        <v>2.82</v>
      </c>
      <c r="AG26" s="394">
        <v>2.65</v>
      </c>
      <c r="AH26" s="302">
        <f t="shared" si="11"/>
        <v>-0.16999999999999993</v>
      </c>
      <c r="AI26" s="302">
        <v>2.83</v>
      </c>
      <c r="AJ26" s="394">
        <v>2.68</v>
      </c>
      <c r="AK26" s="302">
        <f t="shared" si="12"/>
        <v>-0.1499999999999999</v>
      </c>
    </row>
    <row r="27" spans="3:37" s="56" customFormat="1" ht="14.25">
      <c r="C27" s="56" t="s">
        <v>18</v>
      </c>
      <c r="D27" s="51">
        <v>2.32</v>
      </c>
      <c r="E27" s="51">
        <v>0.91</v>
      </c>
      <c r="F27" s="51">
        <v>0.83</v>
      </c>
      <c r="G27" s="51">
        <v>1.03</v>
      </c>
      <c r="H27" s="302">
        <v>0.99</v>
      </c>
      <c r="I27" s="51"/>
      <c r="J27" s="51">
        <v>1.05</v>
      </c>
      <c r="K27" s="51">
        <v>0.9</v>
      </c>
      <c r="L27" s="51">
        <v>0.88</v>
      </c>
      <c r="M27" s="51">
        <v>0.78</v>
      </c>
      <c r="N27" s="51">
        <v>0.71</v>
      </c>
      <c r="O27" s="51">
        <v>0.76</v>
      </c>
      <c r="P27" s="51">
        <v>0.95</v>
      </c>
      <c r="Q27" s="51">
        <v>0.9</v>
      </c>
      <c r="R27" s="299">
        <v>1</v>
      </c>
      <c r="S27" s="299">
        <v>0.95</v>
      </c>
      <c r="T27" s="299">
        <v>1.09</v>
      </c>
      <c r="U27" s="299">
        <v>1.09</v>
      </c>
      <c r="V27" s="299">
        <v>0.94</v>
      </c>
      <c r="W27" s="299">
        <v>1.01</v>
      </c>
      <c r="X27" s="395">
        <v>1.02</v>
      </c>
      <c r="Y27" s="395">
        <v>0.96</v>
      </c>
      <c r="Z27" s="438">
        <v>0.99</v>
      </c>
      <c r="AA27" s="438">
        <v>0.96</v>
      </c>
      <c r="AB27" s="564">
        <v>0.99</v>
      </c>
      <c r="AC27" s="302">
        <f t="shared" si="9"/>
        <v>0.030000000000000027</v>
      </c>
      <c r="AD27" s="302">
        <f t="shared" si="10"/>
        <v>-0.030000000000000027</v>
      </c>
      <c r="AE27" s="59"/>
      <c r="AF27" s="302">
        <v>0.98</v>
      </c>
      <c r="AG27" s="394">
        <v>0.97</v>
      </c>
      <c r="AH27" s="302">
        <f t="shared" si="11"/>
        <v>-0.010000000000000009</v>
      </c>
      <c r="AI27" s="302">
        <v>0.98</v>
      </c>
      <c r="AJ27" s="394">
        <v>0.97</v>
      </c>
      <c r="AK27" s="302">
        <f t="shared" si="12"/>
        <v>-0.010000000000000009</v>
      </c>
    </row>
    <row r="28" spans="3:37" s="56" customFormat="1" ht="14.25">
      <c r="C28" s="56" t="s">
        <v>19</v>
      </c>
      <c r="D28" s="51">
        <v>4.11</v>
      </c>
      <c r="E28" s="51">
        <v>3.26</v>
      </c>
      <c r="F28" s="51">
        <v>2.79</v>
      </c>
      <c r="G28" s="51">
        <v>2.79</v>
      </c>
      <c r="H28" s="302">
        <v>2.46</v>
      </c>
      <c r="I28" s="51"/>
      <c r="J28" s="51">
        <v>3.65</v>
      </c>
      <c r="K28" s="51">
        <v>3.34</v>
      </c>
      <c r="L28" s="51">
        <v>3.05</v>
      </c>
      <c r="M28" s="51">
        <v>2.97</v>
      </c>
      <c r="N28" s="51">
        <v>2.98</v>
      </c>
      <c r="O28" s="51">
        <v>2.69</v>
      </c>
      <c r="P28" s="51">
        <v>2.73</v>
      </c>
      <c r="Q28" s="51">
        <v>2.79</v>
      </c>
      <c r="R28" s="76">
        <v>2.87</v>
      </c>
      <c r="S28" s="76">
        <v>2.92</v>
      </c>
      <c r="T28" s="76">
        <v>2.67</v>
      </c>
      <c r="U28" s="76">
        <v>2.72</v>
      </c>
      <c r="V28" s="76">
        <v>2.61</v>
      </c>
      <c r="W28" s="76">
        <v>2.57</v>
      </c>
      <c r="X28" s="126">
        <v>2.45</v>
      </c>
      <c r="Y28" s="126">
        <v>2.25</v>
      </c>
      <c r="Z28" s="438">
        <v>2.14</v>
      </c>
      <c r="AA28" s="438">
        <v>2.15</v>
      </c>
      <c r="AB28" s="564">
        <v>2.04</v>
      </c>
      <c r="AC28" s="302">
        <f t="shared" si="9"/>
        <v>-0.10999999999999988</v>
      </c>
      <c r="AD28" s="302">
        <f t="shared" si="10"/>
        <v>-0.41000000000000014</v>
      </c>
      <c r="AE28" s="59"/>
      <c r="AF28" s="302">
        <v>2.55</v>
      </c>
      <c r="AG28" s="394">
        <v>2.12</v>
      </c>
      <c r="AH28" s="302">
        <f t="shared" si="11"/>
        <v>-0.4299999999999997</v>
      </c>
      <c r="AI28" s="302">
        <v>2.6</v>
      </c>
      <c r="AJ28" s="394">
        <v>2.15</v>
      </c>
      <c r="AK28" s="302">
        <f t="shared" si="12"/>
        <v>-0.4500000000000002</v>
      </c>
    </row>
    <row r="29" spans="2:37" s="27" customFormat="1" ht="15">
      <c r="B29" s="27" t="s">
        <v>47</v>
      </c>
      <c r="D29" s="54">
        <v>1.91</v>
      </c>
      <c r="E29" s="54">
        <v>0.81</v>
      </c>
      <c r="F29" s="54">
        <v>0.64</v>
      </c>
      <c r="G29" s="54">
        <v>0.69</v>
      </c>
      <c r="H29" s="54">
        <v>0.81</v>
      </c>
      <c r="I29" s="54"/>
      <c r="J29" s="54">
        <v>1.15</v>
      </c>
      <c r="K29" s="54">
        <v>0.84</v>
      </c>
      <c r="L29" s="54">
        <v>0.65</v>
      </c>
      <c r="M29" s="54">
        <v>0.6</v>
      </c>
      <c r="N29" s="54">
        <v>0.6</v>
      </c>
      <c r="O29" s="54">
        <v>0.64</v>
      </c>
      <c r="P29" s="54">
        <v>0.69</v>
      </c>
      <c r="Q29" s="54">
        <v>0.63</v>
      </c>
      <c r="R29" s="9">
        <v>0.64</v>
      </c>
      <c r="S29" s="9">
        <v>0.62</v>
      </c>
      <c r="T29" s="9">
        <v>0.71</v>
      </c>
      <c r="U29" s="9">
        <v>0.76</v>
      </c>
      <c r="V29" s="9">
        <v>0.76</v>
      </c>
      <c r="W29" s="9">
        <v>0.83</v>
      </c>
      <c r="X29" s="9">
        <v>0.82</v>
      </c>
      <c r="Y29" s="9">
        <v>0.83</v>
      </c>
      <c r="Z29" s="298">
        <v>0.79</v>
      </c>
      <c r="AA29" s="298">
        <v>0.75</v>
      </c>
      <c r="AB29" s="393">
        <v>0.73</v>
      </c>
      <c r="AC29" s="54">
        <f t="shared" si="9"/>
        <v>-0.020000000000000018</v>
      </c>
      <c r="AD29" s="54">
        <f t="shared" si="10"/>
        <v>-0.08999999999999997</v>
      </c>
      <c r="AF29" s="54">
        <v>0.81</v>
      </c>
      <c r="AG29" s="393">
        <v>0.75</v>
      </c>
      <c r="AH29" s="54">
        <f t="shared" si="11"/>
        <v>-0.06000000000000005</v>
      </c>
      <c r="AI29" s="54">
        <v>0.8</v>
      </c>
      <c r="AJ29" s="393">
        <v>0.77</v>
      </c>
      <c r="AK29" s="54">
        <f t="shared" si="12"/>
        <v>-0.030000000000000027</v>
      </c>
    </row>
    <row r="30" spans="3:37" s="56" customFormat="1" ht="14.25">
      <c r="C30" s="56" t="s">
        <v>21</v>
      </c>
      <c r="D30" s="51">
        <v>1.48</v>
      </c>
      <c r="E30" s="51">
        <v>0.64</v>
      </c>
      <c r="F30" s="51">
        <v>0.53</v>
      </c>
      <c r="G30" s="51">
        <v>0.61</v>
      </c>
      <c r="H30" s="302">
        <v>0.72</v>
      </c>
      <c r="I30" s="51"/>
      <c r="J30" s="51">
        <v>0.9</v>
      </c>
      <c r="K30" s="51">
        <v>0.67</v>
      </c>
      <c r="L30" s="51">
        <v>0.5</v>
      </c>
      <c r="M30" s="51">
        <v>0.48</v>
      </c>
      <c r="N30" s="51">
        <v>0.48</v>
      </c>
      <c r="O30" s="51">
        <v>0.53</v>
      </c>
      <c r="P30" s="51">
        <v>0.58</v>
      </c>
      <c r="Q30" s="51">
        <v>0.51</v>
      </c>
      <c r="R30" s="76">
        <v>0.55</v>
      </c>
      <c r="S30" s="76">
        <v>0.55</v>
      </c>
      <c r="T30" s="76">
        <v>0.64</v>
      </c>
      <c r="U30" s="76">
        <v>0.68</v>
      </c>
      <c r="V30" s="76">
        <v>0.67</v>
      </c>
      <c r="W30" s="76">
        <v>0.73</v>
      </c>
      <c r="X30" s="126">
        <v>0.75</v>
      </c>
      <c r="Y30" s="126">
        <v>0.73</v>
      </c>
      <c r="Z30" s="438">
        <v>0.71</v>
      </c>
      <c r="AA30" s="438">
        <v>0.69</v>
      </c>
      <c r="AB30" s="564">
        <v>0.68</v>
      </c>
      <c r="AC30" s="302">
        <f t="shared" si="9"/>
        <v>-0.009999999999999898</v>
      </c>
      <c r="AD30" s="302">
        <f t="shared" si="10"/>
        <v>-0.06999999999999995</v>
      </c>
      <c r="AE30" s="59"/>
      <c r="AF30" s="302">
        <v>0.72</v>
      </c>
      <c r="AG30" s="394">
        <v>0.69</v>
      </c>
      <c r="AH30" s="302">
        <f t="shared" si="11"/>
        <v>-0.030000000000000027</v>
      </c>
      <c r="AI30" s="302">
        <v>0.7</v>
      </c>
      <c r="AJ30" s="394">
        <v>0.7</v>
      </c>
      <c r="AK30" s="302">
        <f>AJ30-AI30</f>
        <v>0</v>
      </c>
    </row>
    <row r="31" spans="3:37" s="56" customFormat="1" ht="14.25">
      <c r="C31" s="56" t="s">
        <v>22</v>
      </c>
      <c r="D31" s="51">
        <v>3.7</v>
      </c>
      <c r="E31" s="51">
        <v>2.02</v>
      </c>
      <c r="F31" s="51">
        <v>1.33</v>
      </c>
      <c r="G31" s="51">
        <v>1.1</v>
      </c>
      <c r="H31" s="302">
        <v>1.21</v>
      </c>
      <c r="I31" s="51"/>
      <c r="J31" s="51">
        <v>2.76</v>
      </c>
      <c r="K31" s="51">
        <v>1.9</v>
      </c>
      <c r="L31" s="51">
        <v>1.68</v>
      </c>
      <c r="M31" s="51">
        <v>1.58</v>
      </c>
      <c r="N31" s="51">
        <v>1.46</v>
      </c>
      <c r="O31" s="51">
        <v>1.3</v>
      </c>
      <c r="P31" s="51">
        <v>1.28</v>
      </c>
      <c r="Q31" s="51">
        <v>1.26</v>
      </c>
      <c r="R31" s="76">
        <v>1.12</v>
      </c>
      <c r="S31" s="76">
        <v>1.02</v>
      </c>
      <c r="T31" s="76">
        <v>1.08</v>
      </c>
      <c r="U31" s="76">
        <v>1.14</v>
      </c>
      <c r="V31" s="76">
        <v>1.17</v>
      </c>
      <c r="W31" s="76">
        <v>1.24</v>
      </c>
      <c r="X31" s="126">
        <v>1.12</v>
      </c>
      <c r="Y31" s="126">
        <v>1.28</v>
      </c>
      <c r="Z31" s="438">
        <v>1.17</v>
      </c>
      <c r="AA31" s="438">
        <v>0.98</v>
      </c>
      <c r="AB31" s="564">
        <v>0.92</v>
      </c>
      <c r="AC31" s="302">
        <f t="shared" si="9"/>
        <v>-0.05999999999999994</v>
      </c>
      <c r="AD31" s="302">
        <f t="shared" si="10"/>
        <v>-0.20000000000000007</v>
      </c>
      <c r="AE31" s="59"/>
      <c r="AF31" s="302">
        <v>1.18</v>
      </c>
      <c r="AG31" s="394">
        <v>1.02</v>
      </c>
      <c r="AH31" s="302">
        <f t="shared" si="11"/>
        <v>-0.15999999999999992</v>
      </c>
      <c r="AI31" s="302">
        <v>1.21</v>
      </c>
      <c r="AJ31" s="394">
        <v>1.07</v>
      </c>
      <c r="AK31" s="302">
        <f t="shared" si="12"/>
        <v>-0.1399999999999999</v>
      </c>
    </row>
    <row r="32" spans="24:34" ht="15">
      <c r="X32" s="19"/>
      <c r="Y32" s="19"/>
      <c r="Z32" s="15"/>
      <c r="AA32" s="15"/>
      <c r="AB32" s="502"/>
      <c r="AC32" s="19"/>
      <c r="AD32" s="19"/>
      <c r="AE32" s="23"/>
      <c r="AF32" s="19"/>
      <c r="AG32" s="503"/>
      <c r="AH32" s="19"/>
    </row>
    <row r="33" spans="24:34" ht="14.25">
      <c r="X33" s="19"/>
      <c r="Y33" s="19"/>
      <c r="AB33" s="503"/>
      <c r="AC33" s="19"/>
      <c r="AD33" s="19"/>
      <c r="AE33" s="23"/>
      <c r="AF33" s="19"/>
      <c r="AH33" s="19"/>
    </row>
    <row r="34" spans="28:34" ht="14.25">
      <c r="AB34" s="503"/>
      <c r="AC34" s="19"/>
      <c r="AD34" s="19"/>
      <c r="AE34" s="23"/>
      <c r="AF34" s="19"/>
      <c r="AH34" s="19"/>
    </row>
  </sheetData>
  <sheetProtection/>
  <mergeCells count="1">
    <mergeCell ref="A2:C2"/>
  </mergeCells>
  <hyperlinks>
    <hyperlink ref="A2" location="Index!A1" display="Back to Index"/>
  </hyperlinks>
  <printOptions/>
  <pageMargins left="0.55" right="0.57" top="1" bottom="1" header="0.5" footer="0.5"/>
  <pageSetup fitToHeight="1" fitToWidth="1" horizontalDpi="600" verticalDpi="600" orientation="landscape" scale="99" r:id="rId1"/>
  <ignoredErrors>
    <ignoredError sqref="AA15 AJ5:AJ7 AJ8:AJ12" formulaRange="1"/>
    <ignoredError sqref="AG10" formula="1"/>
  </ignoredErrors>
</worksheet>
</file>

<file path=xl/worksheets/sheet5.xml><?xml version="1.0" encoding="utf-8"?>
<worksheet xmlns="http://schemas.openxmlformats.org/spreadsheetml/2006/main" xmlns:r="http://schemas.openxmlformats.org/officeDocument/2006/relationships">
  <sheetPr>
    <tabColor indexed="47"/>
    <pageSetUpPr fitToPage="1"/>
  </sheetPr>
  <dimension ref="A1:AQ37"/>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H18" sqref="AH18"/>
    </sheetView>
  </sheetViews>
  <sheetFormatPr defaultColWidth="9.140625" defaultRowHeight="12.75" outlineLevelCol="1"/>
  <cols>
    <col min="1" max="2" width="2.8515625" style="22" customWidth="1"/>
    <col min="3" max="3" width="46.57421875" style="10" customWidth="1"/>
    <col min="4" max="4" width="8.421875" style="76" hidden="1" customWidth="1" outlineLevel="1"/>
    <col min="5" max="8" width="8.421875" style="75" hidden="1" customWidth="1" outlineLevel="1"/>
    <col min="9" max="9" width="3.7109375" style="75" hidden="1" customWidth="1" outlineLevel="1"/>
    <col min="10" max="15" width="8.421875" style="75" hidden="1" customWidth="1" outlineLevel="1"/>
    <col min="16" max="17" width="6.57421875" style="75" hidden="1" customWidth="1" outlineLevel="1"/>
    <col min="18" max="18" width="8.421875" style="75" hidden="1" customWidth="1" outlineLevel="1"/>
    <col min="19" max="19" width="8.421875" style="75" hidden="1" customWidth="1" outlineLevel="1" collapsed="1"/>
    <col min="20" max="21" width="8.421875" style="75" hidden="1" customWidth="1" outlineLevel="1"/>
    <col min="22" max="22" width="8.421875" style="75" customWidth="1" collapsed="1"/>
    <col min="23" max="27" width="8.421875" style="75" customWidth="1"/>
    <col min="28" max="28" width="8.421875" style="119" customWidth="1"/>
    <col min="29" max="29" width="8.7109375" style="75" customWidth="1"/>
    <col min="30" max="30" width="9.421875" style="75" customWidth="1"/>
    <col min="31" max="31" width="3.28125" style="75" customWidth="1"/>
    <col min="32" max="32" width="9.421875" style="75" customWidth="1"/>
    <col min="33" max="33" width="9.421875" style="119" customWidth="1"/>
    <col min="34" max="34" width="8.57421875" style="75" customWidth="1"/>
    <col min="35" max="35" width="9.140625" style="22" customWidth="1"/>
    <col min="36" max="37" width="9.140625" style="22" hidden="1" customWidth="1"/>
    <col min="38" max="38" width="9.421875" style="121" hidden="1" customWidth="1"/>
    <col min="39" max="39" width="9.421875" style="122" hidden="1" customWidth="1"/>
    <col min="40" max="40" width="8.57421875" style="121" hidden="1" customWidth="1"/>
    <col min="41" max="16384" width="9.140625" style="22" customWidth="1"/>
  </cols>
  <sheetData>
    <row r="1" spans="1:40" s="42" customFormat="1" ht="20.25">
      <c r="A1" s="41" t="s">
        <v>25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L1" s="124"/>
      <c r="AM1" s="124"/>
      <c r="AN1" s="124"/>
    </row>
    <row r="2" spans="1:40"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+'3.NetInterest'!AC2</f>
        <v>3Q13
vs 
2Q13</v>
      </c>
      <c r="AD2" s="285" t="str">
        <f>+'3.NetInterest'!AD2</f>
        <v>3Q13
vs 
3Q12</v>
      </c>
      <c r="AE2" s="45"/>
      <c r="AF2" s="74" t="s">
        <v>442</v>
      </c>
      <c r="AG2" s="74" t="s">
        <v>443</v>
      </c>
      <c r="AH2" s="285" t="s">
        <v>444</v>
      </c>
      <c r="AL2" s="285" t="str">
        <f>+'3.NetInterest'!AI2</f>
        <v>1H12</v>
      </c>
      <c r="AM2" s="285" t="str">
        <f>+'3.NetInterest'!AJ2</f>
        <v>1H13</v>
      </c>
      <c r="AN2" s="285" t="str">
        <f>+'3.NetInterest'!AK2</f>
        <v>1H13
vs 
1H12</v>
      </c>
    </row>
    <row r="3" spans="1:40" s="18" customFormat="1" ht="8.25" customHeight="1">
      <c r="A3" s="7"/>
      <c r="D3" s="17"/>
      <c r="E3" s="17"/>
      <c r="F3" s="17"/>
      <c r="G3" s="17"/>
      <c r="H3" s="17"/>
      <c r="I3" s="17"/>
      <c r="J3" s="17"/>
      <c r="K3" s="17"/>
      <c r="L3" s="17"/>
      <c r="M3" s="17"/>
      <c r="N3" s="17"/>
      <c r="O3" s="17"/>
      <c r="P3" s="17"/>
      <c r="Q3" s="17"/>
      <c r="R3" s="17"/>
      <c r="S3" s="17"/>
      <c r="T3" s="17"/>
      <c r="U3" s="17"/>
      <c r="V3" s="17"/>
      <c r="W3" s="17"/>
      <c r="X3" s="17"/>
      <c r="Y3" s="17"/>
      <c r="Z3" s="17"/>
      <c r="AA3" s="17"/>
      <c r="AB3" s="125"/>
      <c r="AC3" s="17"/>
      <c r="AD3" s="17"/>
      <c r="AE3" s="17"/>
      <c r="AF3" s="17"/>
      <c r="AG3" s="125"/>
      <c r="AH3" s="17"/>
      <c r="AL3" s="17"/>
      <c r="AM3" s="125"/>
      <c r="AN3" s="17"/>
    </row>
    <row r="4" spans="1:43" s="18" customFormat="1" ht="15">
      <c r="A4" s="47" t="s">
        <v>103</v>
      </c>
      <c r="D4" s="17"/>
      <c r="E4" s="17"/>
      <c r="F4" s="17"/>
      <c r="G4" s="17"/>
      <c r="H4" s="17"/>
      <c r="I4" s="17"/>
      <c r="J4" s="17"/>
      <c r="K4" s="17"/>
      <c r="L4" s="17"/>
      <c r="M4" s="17"/>
      <c r="N4" s="17"/>
      <c r="O4" s="17"/>
      <c r="P4" s="17"/>
      <c r="Q4" s="17"/>
      <c r="R4" s="17"/>
      <c r="S4" s="17"/>
      <c r="T4" s="17"/>
      <c r="U4" s="17"/>
      <c r="V4" s="17"/>
      <c r="W4" s="17"/>
      <c r="X4" s="17"/>
      <c r="Y4" s="17"/>
      <c r="Z4" s="354"/>
      <c r="AA4" s="169"/>
      <c r="AB4" s="125"/>
      <c r="AC4" s="17"/>
      <c r="AD4" s="17"/>
      <c r="AE4" s="17"/>
      <c r="AF4" s="17"/>
      <c r="AG4" s="125"/>
      <c r="AH4" s="17"/>
      <c r="AL4" s="17"/>
      <c r="AM4" s="144"/>
      <c r="AN4" s="17"/>
      <c r="AO4" s="582"/>
      <c r="AP4" s="582"/>
      <c r="AQ4" s="582"/>
    </row>
    <row r="5" spans="1:43" s="18" customFormat="1" ht="15">
      <c r="A5" s="31" t="s">
        <v>25</v>
      </c>
      <c r="D5" s="17">
        <v>1730</v>
      </c>
      <c r="E5" s="17">
        <v>2148</v>
      </c>
      <c r="F5" s="17">
        <v>2748</v>
      </c>
      <c r="G5" s="17">
        <v>2806</v>
      </c>
      <c r="H5" s="17">
        <v>2779</v>
      </c>
      <c r="I5" s="17"/>
      <c r="J5" s="17">
        <v>586</v>
      </c>
      <c r="K5" s="17">
        <v>680</v>
      </c>
      <c r="L5" s="17">
        <v>437</v>
      </c>
      <c r="M5" s="17">
        <v>445</v>
      </c>
      <c r="N5" s="17">
        <v>647</v>
      </c>
      <c r="O5" s="17">
        <v>748</v>
      </c>
      <c r="P5" s="17">
        <v>730</v>
      </c>
      <c r="Q5" s="17">
        <v>623</v>
      </c>
      <c r="R5" s="17">
        <f>R16+R18+R21</f>
        <v>787</v>
      </c>
      <c r="S5" s="17">
        <f>S16+S18+S21</f>
        <v>639</v>
      </c>
      <c r="T5" s="17">
        <f>T16+T18+T21</f>
        <v>754</v>
      </c>
      <c r="U5" s="17">
        <f>U16+U18+U21</f>
        <v>626</v>
      </c>
      <c r="V5" s="17">
        <f>V16+V18+V21</f>
        <v>820</v>
      </c>
      <c r="W5" s="17">
        <v>621</v>
      </c>
      <c r="X5" s="17">
        <v>672</v>
      </c>
      <c r="Y5" s="17">
        <v>666</v>
      </c>
      <c r="Z5" s="17">
        <f>Z16+Z18+Z21</f>
        <v>990</v>
      </c>
      <c r="AA5" s="17">
        <f>AA16+AA18+AA21</f>
        <v>927</v>
      </c>
      <c r="AB5" s="125">
        <f>AB16+AB18+AB21</f>
        <v>744</v>
      </c>
      <c r="AC5" s="19">
        <f>IF(AND(AB5=0,AB5=0),0,IF(OR(AND(AB5&gt;0,AA5&lt;=0),AND(AB5&lt;0,AA5&gt;=0)),"nm",IF(AND(AB5&lt;0,AA5&lt;0),IF(-(AB5/AA5-1)*100&lt;-100,"(&gt;100)",-(AB5/AA5-1)*100),IF((AB5/AA5-1)*100&gt;100,"&gt;100",(AB5/AA5-1)*100))))</f>
        <v>-19.741100323624593</v>
      </c>
      <c r="AD5" s="121">
        <f>IF(AND(AB5=0,X5=0),0,IF(OR(AND(AB5&gt;0,X5&lt;=0),AND(AB5&lt;0,X5&gt;=0)),"nm",IF(AND(AB5&lt;0,X5&lt;0),IF(-(AB5/X5-1)*100&lt;-100,"(&gt;100)",-(AB5/X5-1)*100),IF((AB5/X5-1)*100&gt;100,"&gt;100",(AB5/X5-1)*100))))</f>
        <v>10.71428571428572</v>
      </c>
      <c r="AE5" s="17"/>
      <c r="AF5" s="17">
        <v>2113</v>
      </c>
      <c r="AG5" s="125">
        <f>AG16+AG18+AG21</f>
        <v>2661</v>
      </c>
      <c r="AH5" s="17">
        <f>IF(AND(AG5=0,AF5=0),0,IF(OR(AND(AG5&gt;0,AF5&lt;=0),AND(AG5&lt;0,AF5&gt;=0)),"nm",IF(AND(AG5&lt;0,AF5&lt;0),IF(-(AG5/AF5-1)*100&lt;-100,"(&gt;100)",-(AG5/AF5-1)*100),IF((AG5/AF5-1)*100&gt;100,"&gt;100",(AG5/AF5-1)*100))))</f>
        <v>25.934690014197813</v>
      </c>
      <c r="AJ5" s="15">
        <f>(AA5-Z5)/Z5*100</f>
        <v>-6.363636363636363</v>
      </c>
      <c r="AK5" s="15">
        <f>(AA5-W5)/W5*100</f>
        <v>49.275362318840585</v>
      </c>
      <c r="AL5" s="17">
        <v>1441</v>
      </c>
      <c r="AM5" s="125">
        <f>Z5+AA5</f>
        <v>1917</v>
      </c>
      <c r="AN5" s="17">
        <f>IF(AND(AM5=0,AL5=0),0,IF(OR(AND(AM5&gt;0,AL5&lt;=0),AND(AM5&lt;0,AL5&gt;=0)),"nm",IF(AND(AM5&lt;0,AL5&lt;0),IF(-(AM5/AL5-1)*100&lt;-100,"(&gt;100)",-(AM5/AL5-1)*100),IF((AM5/AL5-1)*100&gt;100,"&gt;100",(AM5/AL5-1)*100))))</f>
        <v>33.03261623872311</v>
      </c>
      <c r="AO5" s="582"/>
      <c r="AP5" s="582"/>
      <c r="AQ5" s="582"/>
    </row>
    <row r="6" spans="2:43" s="18" customFormat="1" ht="15">
      <c r="B6" s="31"/>
      <c r="D6" s="17"/>
      <c r="E6" s="17"/>
      <c r="F6" s="17"/>
      <c r="G6" s="17"/>
      <c r="H6" s="17"/>
      <c r="I6" s="17"/>
      <c r="J6" s="17"/>
      <c r="K6" s="17"/>
      <c r="L6" s="17"/>
      <c r="M6" s="17"/>
      <c r="N6" s="17"/>
      <c r="O6" s="17"/>
      <c r="P6" s="17"/>
      <c r="Q6" s="17"/>
      <c r="R6" s="17"/>
      <c r="S6" s="17"/>
      <c r="T6" s="17"/>
      <c r="U6" s="17"/>
      <c r="V6" s="17"/>
      <c r="W6" s="17"/>
      <c r="X6" s="17"/>
      <c r="Y6" s="17"/>
      <c r="Z6" s="437"/>
      <c r="AA6" s="17"/>
      <c r="AB6" s="125"/>
      <c r="AC6" s="17"/>
      <c r="AD6" s="17"/>
      <c r="AE6" s="17"/>
      <c r="AF6" s="17"/>
      <c r="AG6" s="125"/>
      <c r="AH6" s="17"/>
      <c r="AL6" s="17"/>
      <c r="AM6" s="125"/>
      <c r="AN6" s="17"/>
      <c r="AO6" s="582"/>
      <c r="AP6" s="582"/>
      <c r="AQ6" s="582"/>
    </row>
    <row r="7" spans="3:43" ht="15">
      <c r="C7" s="33" t="s">
        <v>30</v>
      </c>
      <c r="D7" s="75">
        <v>152</v>
      </c>
      <c r="E7" s="75">
        <v>170</v>
      </c>
      <c r="F7" s="75">
        <v>179</v>
      </c>
      <c r="G7" s="75">
        <v>214</v>
      </c>
      <c r="H7" s="121">
        <v>179</v>
      </c>
      <c r="J7" s="75">
        <v>28</v>
      </c>
      <c r="K7" s="75">
        <v>50</v>
      </c>
      <c r="L7" s="75">
        <v>51</v>
      </c>
      <c r="M7" s="75">
        <v>41</v>
      </c>
      <c r="N7" s="75">
        <v>42</v>
      </c>
      <c r="O7" s="75">
        <v>42</v>
      </c>
      <c r="P7" s="75">
        <v>45</v>
      </c>
      <c r="Q7" s="121">
        <v>50</v>
      </c>
      <c r="R7" s="75">
        <v>64</v>
      </c>
      <c r="S7" s="75">
        <v>51</v>
      </c>
      <c r="T7" s="75">
        <v>57</v>
      </c>
      <c r="U7" s="75">
        <v>42</v>
      </c>
      <c r="V7" s="75">
        <v>52</v>
      </c>
      <c r="W7" s="75">
        <v>40</v>
      </c>
      <c r="X7" s="75">
        <v>43</v>
      </c>
      <c r="Y7" s="75">
        <v>44</v>
      </c>
      <c r="Z7" s="121">
        <v>62</v>
      </c>
      <c r="AA7" s="121">
        <v>57</v>
      </c>
      <c r="AB7" s="122">
        <v>49</v>
      </c>
      <c r="AC7" s="19">
        <f aca="true" t="shared" si="0" ref="AC7:AC16">IF(AND(AB7=0,AB7=0),0,IF(OR(AND(AB7&gt;0,AA7&lt;=0),AND(AB7&lt;0,AA7&gt;=0)),"nm",IF(AND(AB7&lt;0,AA7&lt;0),IF(-(AB7/AA7-1)*100&lt;-100,"(&gt;100)",-(AB7/AA7-1)*100),IF((AB7/AA7-1)*100&gt;100,"&gt;100",(AB7/AA7-1)*100))))</f>
        <v>-14.035087719298245</v>
      </c>
      <c r="AD7" s="121">
        <f aca="true" t="shared" si="1" ref="AD7:AD16">IF(AND(AB7=0,X7=0),0,IF(OR(AND(AB7&gt;0,X7&lt;=0),AND(AB7&lt;0,X7&gt;=0)),"nm",IF(AND(AB7&lt;0,X7&lt;0),IF(-(AB7/X7-1)*100&lt;-100,"(&gt;100)",-(AB7/X7-1)*100),IF((AB7/X7-1)*100&gt;100,"&gt;100",(AB7/X7-1)*100))))</f>
        <v>13.953488372093027</v>
      </c>
      <c r="AF7" s="121">
        <v>135</v>
      </c>
      <c r="AG7" s="122">
        <v>168</v>
      </c>
      <c r="AH7" s="75">
        <f>IF(AND(AG7=0,AF7=0),0,IF(OR(AND(AG7&gt;0,AF7&lt;=0),AND(AG7&lt;0,AF7&gt;=0)),"nm",IF(AND(AG7&lt;0,AF7&lt;0),IF(-(AG7/AF7-1)*100&lt;-100,"(&gt;100)",-(AG7/AF7-1)*100),IF((AG7/AF7-1)*100&gt;100,"&gt;100",(AG7/AF7-1)*100))))</f>
        <v>24.444444444444446</v>
      </c>
      <c r="AJ7" s="15">
        <f>(AA7-Z7)/Z7*100</f>
        <v>-8.064516129032258</v>
      </c>
      <c r="AK7" s="15">
        <f aca="true" t="shared" si="2" ref="AK7:AK16">(AA7-W7)/W7*100</f>
        <v>42.5</v>
      </c>
      <c r="AL7" s="121">
        <v>92</v>
      </c>
      <c r="AM7" s="122">
        <f aca="true" t="shared" si="3" ref="AM7:AM16">Z7+AA7</f>
        <v>119</v>
      </c>
      <c r="AN7" s="121">
        <f>IF(AND(AM7=0,AL7=0),0,IF(OR(AND(AM7&gt;0,AL7&lt;=0),AND(AM7&lt;0,AL7&gt;=0)),"nm",IF(AND(AM7&lt;0,AL7&lt;0),IF(-(AM7/AL7-1)*100&lt;-100,"(&gt;100)",-(AM7/AL7-1)*100),IF((AM7/AL7-1)*100&gt;100,"&gt;100",(AM7/AL7-1)*100))))</f>
        <v>29.34782608695652</v>
      </c>
      <c r="AO7" s="583"/>
      <c r="AP7" s="583"/>
      <c r="AQ7" s="583"/>
    </row>
    <row r="8" spans="3:43" ht="15">
      <c r="C8" s="33" t="s">
        <v>31</v>
      </c>
      <c r="D8" s="75">
        <v>90</v>
      </c>
      <c r="E8" s="75">
        <v>146</v>
      </c>
      <c r="F8" s="75">
        <v>154</v>
      </c>
      <c r="G8" s="75">
        <v>190</v>
      </c>
      <c r="H8" s="121">
        <v>148</v>
      </c>
      <c r="J8" s="75">
        <v>17</v>
      </c>
      <c r="K8" s="75">
        <v>27</v>
      </c>
      <c r="L8" s="75">
        <v>43</v>
      </c>
      <c r="M8" s="75">
        <v>59</v>
      </c>
      <c r="N8" s="75">
        <v>27</v>
      </c>
      <c r="O8" s="75">
        <v>29</v>
      </c>
      <c r="P8" s="75">
        <v>38</v>
      </c>
      <c r="Q8" s="121">
        <v>60</v>
      </c>
      <c r="R8" s="75">
        <v>75</v>
      </c>
      <c r="S8" s="75">
        <v>44</v>
      </c>
      <c r="T8" s="75">
        <v>38</v>
      </c>
      <c r="U8" s="75">
        <v>33</v>
      </c>
      <c r="V8" s="75">
        <v>32</v>
      </c>
      <c r="W8" s="75">
        <v>29</v>
      </c>
      <c r="X8" s="75">
        <v>60</v>
      </c>
      <c r="Y8" s="75">
        <v>27</v>
      </c>
      <c r="Z8" s="121">
        <v>64</v>
      </c>
      <c r="AA8" s="121">
        <v>47</v>
      </c>
      <c r="AB8" s="122">
        <v>37</v>
      </c>
      <c r="AC8" s="19">
        <f t="shared" si="0"/>
        <v>-21.276595744680847</v>
      </c>
      <c r="AD8" s="121">
        <f t="shared" si="1"/>
        <v>-38.33333333333333</v>
      </c>
      <c r="AF8" s="121">
        <v>121</v>
      </c>
      <c r="AG8" s="122">
        <v>148</v>
      </c>
      <c r="AH8" s="75">
        <f aca="true" t="shared" si="4" ref="AH8:AH24">IF(AND(AG8=0,AF8=0),0,IF(OR(AND(AG8&gt;0,AF8&lt;=0),AND(AG8&lt;0,AF8&gt;=0)),"nm",IF(AND(AG8&lt;0,AF8&lt;0),IF(-(AG8/AF8-1)*100&lt;-100,"(&gt;100)",-(AG8/AF8-1)*100),IF((AG8/AF8-1)*100&gt;100,"&gt;100",(AG8/AF8-1)*100))))</f>
        <v>22.314049586776854</v>
      </c>
      <c r="AJ8" s="15">
        <f aca="true" t="shared" si="5" ref="AJ8:AJ16">(AA8-Z8)/Z8*100</f>
        <v>-26.5625</v>
      </c>
      <c r="AK8" s="15">
        <f t="shared" si="2"/>
        <v>62.06896551724138</v>
      </c>
      <c r="AL8" s="121">
        <v>61</v>
      </c>
      <c r="AM8" s="122">
        <f t="shared" si="3"/>
        <v>111</v>
      </c>
      <c r="AN8" s="121">
        <f aca="true" t="shared" si="6" ref="AN8:AN24">IF(AND(AM8=0,AL8=0),0,IF(OR(AND(AM8&gt;0,AL8&lt;=0),AND(AM8&lt;0,AL8&gt;=0)),"nm",IF(AND(AM8&lt;0,AL8&lt;0),IF(-(AM8/AL8-1)*100&lt;-100,"(&gt;100)",-(AM8/AL8-1)*100),IF((AM8/AL8-1)*100&gt;100,"&gt;100",(AM8/AL8-1)*100))))</f>
        <v>81.9672131147541</v>
      </c>
      <c r="AO8" s="583"/>
      <c r="AP8" s="583"/>
      <c r="AQ8" s="583"/>
    </row>
    <row r="9" spans="3:43" ht="15">
      <c r="C9" s="127" t="s">
        <v>390</v>
      </c>
      <c r="D9" s="75">
        <f>225+49+81</f>
        <v>355</v>
      </c>
      <c r="E9" s="75">
        <f>244+57+84</f>
        <v>385</v>
      </c>
      <c r="F9" s="75">
        <f>227+59+85</f>
        <v>371</v>
      </c>
      <c r="G9" s="75">
        <f>284+71+82</f>
        <v>437</v>
      </c>
      <c r="H9" s="121">
        <f>320+79+74</f>
        <v>473</v>
      </c>
      <c r="J9" s="75">
        <f>74+15+20</f>
        <v>109</v>
      </c>
      <c r="K9" s="75">
        <f>59+14+22</f>
        <v>95</v>
      </c>
      <c r="L9" s="75">
        <f>56+14+21</f>
        <v>91</v>
      </c>
      <c r="M9" s="75">
        <f>55+14+21</f>
        <v>90</v>
      </c>
      <c r="N9" s="75">
        <f>59+13+20</f>
        <v>92</v>
      </c>
      <c r="O9" s="75">
        <f>57+16+22</f>
        <v>95</v>
      </c>
      <c r="P9" s="75">
        <f>55+14+20</f>
        <v>89</v>
      </c>
      <c r="Q9" s="121">
        <f>56+16+23</f>
        <v>95</v>
      </c>
      <c r="R9" s="75">
        <f>63+20+20</f>
        <v>103</v>
      </c>
      <c r="S9" s="75">
        <f>66+16+22</f>
        <v>104</v>
      </c>
      <c r="T9" s="75">
        <f>81+18+23</f>
        <v>122</v>
      </c>
      <c r="U9" s="75">
        <f>74+17+17</f>
        <v>108</v>
      </c>
      <c r="V9" s="75">
        <f>79+24+19</f>
        <v>122</v>
      </c>
      <c r="W9" s="75">
        <f>82+22+16</f>
        <v>120</v>
      </c>
      <c r="X9" s="75">
        <f>80+16+20</f>
        <v>116</v>
      </c>
      <c r="Y9" s="75">
        <f>79+17+19</f>
        <v>115</v>
      </c>
      <c r="Z9" s="121">
        <f>86+28+20</f>
        <v>134</v>
      </c>
      <c r="AA9" s="121">
        <v>137</v>
      </c>
      <c r="AB9" s="122">
        <v>135</v>
      </c>
      <c r="AC9" s="19">
        <f t="shared" si="0"/>
        <v>-1.4598540145985384</v>
      </c>
      <c r="AD9" s="121">
        <f t="shared" si="1"/>
        <v>16.37931034482758</v>
      </c>
      <c r="AF9" s="121">
        <v>358</v>
      </c>
      <c r="AG9" s="122">
        <v>406</v>
      </c>
      <c r="AH9" s="75">
        <f t="shared" si="4"/>
        <v>13.407821229050288</v>
      </c>
      <c r="AJ9" s="15">
        <f t="shared" si="5"/>
        <v>2.2388059701492535</v>
      </c>
      <c r="AK9" s="15">
        <f t="shared" si="2"/>
        <v>14.166666666666666</v>
      </c>
      <c r="AL9" s="121">
        <v>242</v>
      </c>
      <c r="AM9" s="122">
        <f t="shared" si="3"/>
        <v>271</v>
      </c>
      <c r="AN9" s="121">
        <f t="shared" si="6"/>
        <v>11.983471074380159</v>
      </c>
      <c r="AO9" s="583"/>
      <c r="AP9" s="583"/>
      <c r="AQ9" s="583"/>
    </row>
    <row r="10" spans="3:43" ht="15">
      <c r="C10" s="33" t="s">
        <v>32</v>
      </c>
      <c r="D10" s="75">
        <v>299</v>
      </c>
      <c r="E10" s="75">
        <v>375</v>
      </c>
      <c r="F10" s="75">
        <v>333</v>
      </c>
      <c r="G10" s="75">
        <v>359</v>
      </c>
      <c r="H10" s="121">
        <v>333</v>
      </c>
      <c r="J10" s="75">
        <v>96</v>
      </c>
      <c r="K10" s="75">
        <v>108</v>
      </c>
      <c r="L10" s="75">
        <v>86</v>
      </c>
      <c r="M10" s="75">
        <v>85</v>
      </c>
      <c r="N10" s="75">
        <v>100</v>
      </c>
      <c r="O10" s="75">
        <v>101</v>
      </c>
      <c r="P10" s="75">
        <v>80</v>
      </c>
      <c r="Q10" s="121">
        <v>52</v>
      </c>
      <c r="R10" s="75">
        <v>93</v>
      </c>
      <c r="S10" s="75">
        <v>95</v>
      </c>
      <c r="T10" s="75">
        <v>103</v>
      </c>
      <c r="U10" s="75">
        <v>68</v>
      </c>
      <c r="V10" s="75">
        <v>83</v>
      </c>
      <c r="W10" s="75">
        <v>82</v>
      </c>
      <c r="X10" s="75">
        <v>98</v>
      </c>
      <c r="Y10" s="75">
        <v>70</v>
      </c>
      <c r="Z10" s="121">
        <v>103</v>
      </c>
      <c r="AA10" s="121">
        <v>94</v>
      </c>
      <c r="AB10" s="122">
        <v>98</v>
      </c>
      <c r="AC10" s="19">
        <f t="shared" si="0"/>
        <v>4.255319148936176</v>
      </c>
      <c r="AD10" s="121">
        <f t="shared" si="1"/>
        <v>0</v>
      </c>
      <c r="AF10" s="121">
        <v>263</v>
      </c>
      <c r="AG10" s="122">
        <v>295</v>
      </c>
      <c r="AH10" s="75">
        <f>IF(AND(AG10=0,AF10=0),0,IF(OR(AND(AG10&gt;0,AF10&lt;=0),AND(AG10&lt;0,AF10&gt;=0)),"nm",IF(AND(AG10&lt;0,AF10&lt;0),IF(-(AG10/AF10-1)*100&lt;-100,"(&gt;100)",-(AG10/AF10-1)*100),IF((AG10/AF10-1)*100&gt;100,"&gt;100",(AG10/AF10-1)*100))))</f>
        <v>12.16730038022813</v>
      </c>
      <c r="AJ10" s="15">
        <f t="shared" si="5"/>
        <v>-8.737864077669903</v>
      </c>
      <c r="AK10" s="15">
        <f t="shared" si="2"/>
        <v>14.634146341463413</v>
      </c>
      <c r="AL10" s="121">
        <v>165</v>
      </c>
      <c r="AM10" s="122">
        <f t="shared" si="3"/>
        <v>197</v>
      </c>
      <c r="AN10" s="121">
        <f>IF(AND(AM10=0,AL10=0),0,IF(OR(AND(AM10&gt;0,AL10&lt;=0),AND(AM10&lt;0,AL10&gt;=0)),"nm",IF(AND(AM10&lt;0,AL10&lt;0),IF(-(AM10/AL10-1)*100&lt;-100,"(&gt;100)",-(AM10/AL10-1)*100),IF((AM10/AL10-1)*100&gt;100,"&gt;100",(AM10/AL10-1)*100))))</f>
        <v>19.393939393939384</v>
      </c>
      <c r="AO10" s="583"/>
      <c r="AP10" s="583"/>
      <c r="AQ10" s="583"/>
    </row>
    <row r="11" spans="3:40" ht="15.75" customHeight="1">
      <c r="C11" s="33" t="s">
        <v>33</v>
      </c>
      <c r="D11" s="75">
        <v>143</v>
      </c>
      <c r="E11" s="75">
        <v>143</v>
      </c>
      <c r="F11" s="75">
        <v>149</v>
      </c>
      <c r="G11" s="75">
        <v>267</v>
      </c>
      <c r="H11" s="121">
        <v>299</v>
      </c>
      <c r="J11" s="75">
        <v>33</v>
      </c>
      <c r="K11" s="75">
        <v>37</v>
      </c>
      <c r="L11" s="75">
        <v>37</v>
      </c>
      <c r="M11" s="75">
        <v>36</v>
      </c>
      <c r="N11" s="75">
        <v>35</v>
      </c>
      <c r="O11" s="75">
        <v>37</v>
      </c>
      <c r="P11" s="75">
        <v>37</v>
      </c>
      <c r="Q11" s="121">
        <v>40</v>
      </c>
      <c r="R11" s="75">
        <v>60</v>
      </c>
      <c r="S11" s="75">
        <v>62</v>
      </c>
      <c r="T11" s="75">
        <v>65</v>
      </c>
      <c r="U11" s="75">
        <v>80</v>
      </c>
      <c r="V11" s="75">
        <v>74</v>
      </c>
      <c r="W11" s="75">
        <v>71</v>
      </c>
      <c r="X11" s="75">
        <v>72</v>
      </c>
      <c r="Y11" s="75">
        <v>82</v>
      </c>
      <c r="Z11" s="121">
        <v>78</v>
      </c>
      <c r="AA11" s="121">
        <v>82</v>
      </c>
      <c r="AB11" s="122">
        <v>83</v>
      </c>
      <c r="AC11" s="19">
        <f t="shared" si="0"/>
        <v>1.2195121951219523</v>
      </c>
      <c r="AD11" s="121">
        <f t="shared" si="1"/>
        <v>15.277777777777768</v>
      </c>
      <c r="AF11" s="121">
        <v>217</v>
      </c>
      <c r="AG11" s="122">
        <v>243</v>
      </c>
      <c r="AH11" s="75">
        <f t="shared" si="4"/>
        <v>11.981566820276491</v>
      </c>
      <c r="AJ11" s="15">
        <f t="shared" si="5"/>
        <v>5.128205128205128</v>
      </c>
      <c r="AK11" s="15">
        <f t="shared" si="2"/>
        <v>15.492957746478872</v>
      </c>
      <c r="AL11" s="121">
        <v>145</v>
      </c>
      <c r="AM11" s="122">
        <f t="shared" si="3"/>
        <v>160</v>
      </c>
      <c r="AN11" s="139">
        <f t="shared" si="6"/>
        <v>10.344827586206895</v>
      </c>
    </row>
    <row r="12" spans="3:40" ht="15">
      <c r="C12" s="33" t="s">
        <v>34</v>
      </c>
      <c r="D12" s="75">
        <v>137</v>
      </c>
      <c r="E12" s="75">
        <v>101</v>
      </c>
      <c r="F12" s="75">
        <v>136</v>
      </c>
      <c r="G12" s="75">
        <v>228</v>
      </c>
      <c r="H12" s="121">
        <v>300</v>
      </c>
      <c r="J12" s="75">
        <v>16</v>
      </c>
      <c r="K12" s="75">
        <v>21</v>
      </c>
      <c r="L12" s="75">
        <v>34</v>
      </c>
      <c r="M12" s="75">
        <v>30</v>
      </c>
      <c r="N12" s="75">
        <v>27</v>
      </c>
      <c r="O12" s="75">
        <v>34</v>
      </c>
      <c r="P12" s="75">
        <v>31</v>
      </c>
      <c r="Q12" s="121">
        <v>44</v>
      </c>
      <c r="R12" s="75">
        <v>56</v>
      </c>
      <c r="S12" s="75">
        <v>64</v>
      </c>
      <c r="T12" s="75">
        <v>52</v>
      </c>
      <c r="U12" s="75">
        <v>56</v>
      </c>
      <c r="V12" s="121">
        <f>78+1</f>
        <v>79</v>
      </c>
      <c r="W12" s="75">
        <f>69+1</f>
        <v>70</v>
      </c>
      <c r="X12" s="75">
        <f>73+1</f>
        <v>74</v>
      </c>
      <c r="Y12" s="75">
        <v>77</v>
      </c>
      <c r="Z12" s="121">
        <v>113</v>
      </c>
      <c r="AA12" s="121">
        <v>101</v>
      </c>
      <c r="AB12" s="122">
        <v>102</v>
      </c>
      <c r="AC12" s="19">
        <f t="shared" si="0"/>
        <v>0.990099009900991</v>
      </c>
      <c r="AD12" s="121">
        <f t="shared" si="1"/>
        <v>37.83783783783783</v>
      </c>
      <c r="AF12" s="121">
        <v>223</v>
      </c>
      <c r="AG12" s="122">
        <v>316</v>
      </c>
      <c r="AH12" s="132">
        <f>IF(AND(AG12=0,AF12=0),0,IF(OR(AND(AG12&gt;0,AF12&lt;=0),AND(AG12&lt;0,AF12&gt;=0)),"nm",IF(AND(AG12&lt;0,AF12&lt;0),IF(-(AG12/AF12-1)*100&lt;-100,"(&gt;100)",-(AG12/AF12-1)*100),IF((AG12/AF12-1)*100&gt;100,"&gt;100",(AG12/AF12-1)*100))))</f>
        <v>41.70403587443947</v>
      </c>
      <c r="AJ12" s="15">
        <f t="shared" si="5"/>
        <v>-10.619469026548673</v>
      </c>
      <c r="AK12" s="15">
        <f t="shared" si="2"/>
        <v>44.285714285714285</v>
      </c>
      <c r="AL12" s="121">
        <v>149</v>
      </c>
      <c r="AM12" s="122">
        <f t="shared" si="3"/>
        <v>214</v>
      </c>
      <c r="AN12" s="121">
        <f t="shared" si="6"/>
        <v>43.6241610738255</v>
      </c>
    </row>
    <row r="13" spans="3:40" ht="15">
      <c r="C13" s="33" t="s">
        <v>35</v>
      </c>
      <c r="D13" s="75">
        <f>66+32</f>
        <v>98</v>
      </c>
      <c r="E13" s="75">
        <f>54+20</f>
        <v>74</v>
      </c>
      <c r="F13" s="75">
        <f>53+22</f>
        <v>75</v>
      </c>
      <c r="G13" s="75">
        <f>55+16</f>
        <v>71</v>
      </c>
      <c r="H13" s="121">
        <v>43</v>
      </c>
      <c r="J13" s="75">
        <f>13+5</f>
        <v>18</v>
      </c>
      <c r="K13" s="75">
        <f>14+6</f>
        <v>20</v>
      </c>
      <c r="L13" s="75">
        <f>14+5</f>
        <v>19</v>
      </c>
      <c r="M13" s="75">
        <f>13+4</f>
        <v>17</v>
      </c>
      <c r="N13" s="75">
        <f>13+5</f>
        <v>18</v>
      </c>
      <c r="O13" s="75">
        <f>14+6</f>
        <v>20</v>
      </c>
      <c r="P13" s="75">
        <f>15+5</f>
        <v>20</v>
      </c>
      <c r="Q13" s="121">
        <f>11+6</f>
        <v>17</v>
      </c>
      <c r="R13" s="75">
        <v>19</v>
      </c>
      <c r="S13" s="75">
        <v>21</v>
      </c>
      <c r="T13" s="75">
        <v>19</v>
      </c>
      <c r="U13" s="75">
        <v>12</v>
      </c>
      <c r="V13" s="75">
        <f>15-1</f>
        <v>14</v>
      </c>
      <c r="W13" s="75">
        <f>13-1</f>
        <v>12</v>
      </c>
      <c r="X13" s="75">
        <f>11-1</f>
        <v>10</v>
      </c>
      <c r="Y13" s="75">
        <v>7</v>
      </c>
      <c r="Z13" s="121">
        <v>14</v>
      </c>
      <c r="AA13" s="121">
        <v>17</v>
      </c>
      <c r="AB13" s="122">
        <v>17</v>
      </c>
      <c r="AC13" s="19">
        <f t="shared" si="0"/>
        <v>0</v>
      </c>
      <c r="AD13" s="121">
        <f t="shared" si="1"/>
        <v>70</v>
      </c>
      <c r="AF13" s="121">
        <v>36</v>
      </c>
      <c r="AG13" s="122">
        <v>48</v>
      </c>
      <c r="AH13" s="75">
        <f t="shared" si="4"/>
        <v>33.33333333333333</v>
      </c>
      <c r="AJ13" s="15">
        <f t="shared" si="5"/>
        <v>21.428571428571427</v>
      </c>
      <c r="AK13" s="15">
        <f t="shared" si="2"/>
        <v>41.66666666666667</v>
      </c>
      <c r="AL13" s="121">
        <v>26</v>
      </c>
      <c r="AM13" s="122">
        <f t="shared" si="3"/>
        <v>31</v>
      </c>
      <c r="AN13" s="121">
        <f t="shared" si="6"/>
        <v>19.23076923076923</v>
      </c>
    </row>
    <row r="14" spans="2:40" ht="15">
      <c r="B14" s="31" t="s">
        <v>364</v>
      </c>
      <c r="C14" s="33"/>
      <c r="D14" s="17">
        <f>SUM(D7:D13)</f>
        <v>1274</v>
      </c>
      <c r="E14" s="17">
        <f>SUM(E7:E13)</f>
        <v>1394</v>
      </c>
      <c r="F14" s="17">
        <f>SUM(F7:F13)</f>
        <v>1397</v>
      </c>
      <c r="G14" s="17">
        <f>SUM(G7:G13)</f>
        <v>1766</v>
      </c>
      <c r="H14" s="17">
        <v>1775</v>
      </c>
      <c r="I14" s="17"/>
      <c r="J14" s="17">
        <f aca="true" t="shared" si="7" ref="J14:Y14">SUM(J7:J13)</f>
        <v>317</v>
      </c>
      <c r="K14" s="17">
        <f t="shared" si="7"/>
        <v>358</v>
      </c>
      <c r="L14" s="17">
        <f t="shared" si="7"/>
        <v>361</v>
      </c>
      <c r="M14" s="17">
        <f t="shared" si="7"/>
        <v>358</v>
      </c>
      <c r="N14" s="17">
        <f t="shared" si="7"/>
        <v>341</v>
      </c>
      <c r="O14" s="17">
        <f t="shared" si="7"/>
        <v>358</v>
      </c>
      <c r="P14" s="17">
        <f t="shared" si="7"/>
        <v>340</v>
      </c>
      <c r="Q14" s="17">
        <f t="shared" si="7"/>
        <v>358</v>
      </c>
      <c r="R14" s="17">
        <f t="shared" si="7"/>
        <v>470</v>
      </c>
      <c r="S14" s="17">
        <f t="shared" si="7"/>
        <v>441</v>
      </c>
      <c r="T14" s="17">
        <f t="shared" si="7"/>
        <v>456</v>
      </c>
      <c r="U14" s="17">
        <f t="shared" si="7"/>
        <v>399</v>
      </c>
      <c r="V14" s="17">
        <f t="shared" si="7"/>
        <v>456</v>
      </c>
      <c r="W14" s="17">
        <f t="shared" si="7"/>
        <v>424</v>
      </c>
      <c r="X14" s="17">
        <f t="shared" si="7"/>
        <v>473</v>
      </c>
      <c r="Y14" s="17">
        <f t="shared" si="7"/>
        <v>422</v>
      </c>
      <c r="Z14" s="17">
        <f>SUM(Z7:Z13)</f>
        <v>568</v>
      </c>
      <c r="AA14" s="17">
        <f>SUM(AA7:AA13)</f>
        <v>535</v>
      </c>
      <c r="AB14" s="125">
        <f>SUM(AB7:AB13)</f>
        <v>521</v>
      </c>
      <c r="AC14" s="19">
        <f t="shared" si="0"/>
        <v>-2.61682242990654</v>
      </c>
      <c r="AD14" s="121">
        <f t="shared" si="1"/>
        <v>10.147991543340385</v>
      </c>
      <c r="AF14" s="17">
        <f>SUM(AF7:AF13)</f>
        <v>1353</v>
      </c>
      <c r="AG14" s="125">
        <f>SUM(AG7:AG13)</f>
        <v>1624</v>
      </c>
      <c r="AH14" s="75">
        <f t="shared" si="4"/>
        <v>20.029563932002947</v>
      </c>
      <c r="AJ14" s="15">
        <f t="shared" si="5"/>
        <v>-5.809859154929577</v>
      </c>
      <c r="AK14" s="15">
        <f t="shared" si="2"/>
        <v>26.179245283018872</v>
      </c>
      <c r="AL14" s="17">
        <v>880</v>
      </c>
      <c r="AM14" s="125">
        <f t="shared" si="3"/>
        <v>1103</v>
      </c>
      <c r="AN14" s="133">
        <f>IF(AND(AM14=0,AL14=0),0,IF(OR(AND(AM14&gt;0,AL14&lt;=0),AND(AM14&lt;0,AL14&gt;=0)),"nm",IF(AND(AM14&lt;0,AL14&lt;0),IF(-(AM14/AL14-1)*100&lt;-100,"(&gt;100)",-(AM14/AL14-1)*100),IF((AM14/AL14-1)*100&gt;100,"&gt;100",(AM14/AL14-1)*100))))</f>
        <v>25.340909090909093</v>
      </c>
    </row>
    <row r="15" spans="2:40" ht="15">
      <c r="B15" s="34" t="s">
        <v>365</v>
      </c>
      <c r="C15" s="33"/>
      <c r="D15" s="75"/>
      <c r="G15" s="75">
        <v>224</v>
      </c>
      <c r="H15" s="121">
        <v>196</v>
      </c>
      <c r="R15" s="75">
        <v>54</v>
      </c>
      <c r="S15" s="75">
        <v>54</v>
      </c>
      <c r="T15" s="75">
        <v>59</v>
      </c>
      <c r="U15" s="75">
        <v>57</v>
      </c>
      <c r="V15" s="75">
        <v>50</v>
      </c>
      <c r="W15" s="75">
        <v>45</v>
      </c>
      <c r="X15" s="75">
        <v>51</v>
      </c>
      <c r="Y15" s="75">
        <v>50</v>
      </c>
      <c r="Z15" s="121">
        <v>61</v>
      </c>
      <c r="AA15" s="121">
        <v>58</v>
      </c>
      <c r="AB15" s="122">
        <v>59</v>
      </c>
      <c r="AC15" s="19">
        <f t="shared" si="0"/>
        <v>1.724137931034475</v>
      </c>
      <c r="AD15" s="121">
        <f t="shared" si="1"/>
        <v>15.686274509803933</v>
      </c>
      <c r="AF15" s="121">
        <v>146</v>
      </c>
      <c r="AG15" s="122">
        <v>178</v>
      </c>
      <c r="AH15" s="75">
        <f t="shared" si="4"/>
        <v>21.91780821917808</v>
      </c>
      <c r="AJ15" s="15">
        <f t="shared" si="5"/>
        <v>-4.918032786885246</v>
      </c>
      <c r="AK15" s="15">
        <f t="shared" si="2"/>
        <v>28.888888888888886</v>
      </c>
      <c r="AL15" s="121">
        <v>95</v>
      </c>
      <c r="AM15" s="122">
        <f>Z15+AA15</f>
        <v>119</v>
      </c>
      <c r="AN15" s="121">
        <f t="shared" si="6"/>
        <v>25.263157894736832</v>
      </c>
    </row>
    <row r="16" spans="2:40" s="18" customFormat="1" ht="15">
      <c r="B16" s="18" t="s">
        <v>91</v>
      </c>
      <c r="C16" s="32"/>
      <c r="D16" s="17">
        <f>D14-D15</f>
        <v>1274</v>
      </c>
      <c r="E16" s="17">
        <f>E14-E15</f>
        <v>1394</v>
      </c>
      <c r="F16" s="17">
        <f>F14-F15</f>
        <v>1397</v>
      </c>
      <c r="G16" s="17">
        <f>G14-G15</f>
        <v>1542</v>
      </c>
      <c r="H16" s="17">
        <v>1579</v>
      </c>
      <c r="I16" s="17"/>
      <c r="J16" s="17">
        <f aca="true" t="shared" si="8" ref="J16:U16">J14-J15</f>
        <v>317</v>
      </c>
      <c r="K16" s="17">
        <f t="shared" si="8"/>
        <v>358</v>
      </c>
      <c r="L16" s="17">
        <f t="shared" si="8"/>
        <v>361</v>
      </c>
      <c r="M16" s="17">
        <f t="shared" si="8"/>
        <v>358</v>
      </c>
      <c r="N16" s="17">
        <f t="shared" si="8"/>
        <v>341</v>
      </c>
      <c r="O16" s="17">
        <f t="shared" si="8"/>
        <v>358</v>
      </c>
      <c r="P16" s="17">
        <f t="shared" si="8"/>
        <v>340</v>
      </c>
      <c r="Q16" s="17">
        <f t="shared" si="8"/>
        <v>358</v>
      </c>
      <c r="R16" s="17">
        <f t="shared" si="8"/>
        <v>416</v>
      </c>
      <c r="S16" s="17">
        <f t="shared" si="8"/>
        <v>387</v>
      </c>
      <c r="T16" s="17">
        <f t="shared" si="8"/>
        <v>397</v>
      </c>
      <c r="U16" s="17">
        <f t="shared" si="8"/>
        <v>342</v>
      </c>
      <c r="V16" s="17">
        <f>V14-V15</f>
        <v>406</v>
      </c>
      <c r="W16" s="17">
        <f>W14-W15</f>
        <v>379</v>
      </c>
      <c r="X16" s="17">
        <v>422</v>
      </c>
      <c r="Y16" s="17">
        <v>372</v>
      </c>
      <c r="Z16" s="17">
        <f>Z14-Z15</f>
        <v>507</v>
      </c>
      <c r="AA16" s="17">
        <f>AA14-AA15</f>
        <v>477</v>
      </c>
      <c r="AB16" s="125">
        <f>AB14-AB15</f>
        <v>462</v>
      </c>
      <c r="AC16" s="19">
        <f t="shared" si="0"/>
        <v>-3.1446540880503138</v>
      </c>
      <c r="AD16" s="121">
        <f t="shared" si="1"/>
        <v>9.478672985782</v>
      </c>
      <c r="AE16" s="17"/>
      <c r="AF16" s="17">
        <v>1207</v>
      </c>
      <c r="AG16" s="125">
        <f>AG14-AG15</f>
        <v>1446</v>
      </c>
      <c r="AH16" s="75">
        <f t="shared" si="4"/>
        <v>19.801159900579957</v>
      </c>
      <c r="AJ16" s="15">
        <f t="shared" si="5"/>
        <v>-5.9171597633136095</v>
      </c>
      <c r="AK16" s="15">
        <f t="shared" si="2"/>
        <v>25.857519788918204</v>
      </c>
      <c r="AL16" s="17">
        <v>785</v>
      </c>
      <c r="AM16" s="125">
        <f t="shared" si="3"/>
        <v>984</v>
      </c>
      <c r="AN16" s="17">
        <f t="shared" si="6"/>
        <v>25.350318471337573</v>
      </c>
    </row>
    <row r="17" spans="3:39" ht="14.25">
      <c r="C17" s="33"/>
      <c r="D17" s="75"/>
      <c r="H17" s="121"/>
      <c r="Z17" s="436"/>
      <c r="AA17" s="121"/>
      <c r="AB17" s="122"/>
      <c r="AF17" s="121"/>
      <c r="AG17" s="122"/>
      <c r="AM17" s="461"/>
    </row>
    <row r="18" spans="2:40" s="18" customFormat="1" ht="15">
      <c r="B18" s="31" t="s">
        <v>321</v>
      </c>
      <c r="D18" s="17">
        <v>23</v>
      </c>
      <c r="E18" s="17">
        <v>433</v>
      </c>
      <c r="F18" s="17">
        <v>895</v>
      </c>
      <c r="G18" s="17">
        <v>680</v>
      </c>
      <c r="H18" s="17">
        <v>689</v>
      </c>
      <c r="I18" s="17"/>
      <c r="J18" s="17">
        <v>150</v>
      </c>
      <c r="K18" s="17">
        <v>172</v>
      </c>
      <c r="L18" s="17">
        <v>56</v>
      </c>
      <c r="M18" s="17">
        <v>55</v>
      </c>
      <c r="N18" s="17">
        <v>230</v>
      </c>
      <c r="O18" s="17">
        <v>278</v>
      </c>
      <c r="P18" s="17">
        <v>223</v>
      </c>
      <c r="Q18" s="17">
        <v>164</v>
      </c>
      <c r="R18" s="17">
        <v>258</v>
      </c>
      <c r="S18" s="17">
        <f>SUM(S19:S20)</f>
        <v>146</v>
      </c>
      <c r="T18" s="17">
        <v>143</v>
      </c>
      <c r="U18" s="17">
        <v>133</v>
      </c>
      <c r="V18" s="17">
        <v>292</v>
      </c>
      <c r="W18" s="17">
        <v>133</v>
      </c>
      <c r="X18" s="17">
        <v>130</v>
      </c>
      <c r="Y18" s="17">
        <v>134</v>
      </c>
      <c r="Z18" s="17">
        <f>SUM(Z19:Z20)</f>
        <v>408</v>
      </c>
      <c r="AA18" s="17">
        <f>SUM(AA19:AA20)</f>
        <v>336</v>
      </c>
      <c r="AB18" s="125">
        <f>SUM(AB19:AB20)</f>
        <v>188</v>
      </c>
      <c r="AC18" s="19">
        <f aca="true" t="shared" si="9" ref="AC18:AC24">IF(AND(AB18=0,AB18=0),0,IF(OR(AND(AB18&gt;0,AA18&lt;=0),AND(AB18&lt;0,AA18&gt;=0)),"nm",IF(AND(AB18&lt;0,AA18&lt;0),IF(-(AB18/AA18-1)*100&lt;-100,"(&gt;100)",-(AB18/AA18-1)*100),IF((AB18/AA18-1)*100&gt;100,"&gt;100",(AB18/AA18-1)*100))))</f>
        <v>-44.047619047619044</v>
      </c>
      <c r="AD18" s="121">
        <f>IF(AND(AB18=0,X18=0),0,IF(OR(AND(AB18&gt;0,X18&lt;=0),AND(AB18&lt;0,X18&gt;=0)),"nm",IF(AND(AB18&lt;0,X18&lt;0),IF(-(AB18/X18-1)*100&lt;-100,"(&gt;100)",-(AB18/X18-1)*100),IF((AB18/X18-1)*100&gt;100,"&gt;100",(AB18/X18-1)*100))))-1</f>
        <v>43.61538461538461</v>
      </c>
      <c r="AE18" s="17"/>
      <c r="AF18" s="17">
        <v>555</v>
      </c>
      <c r="AG18" s="125">
        <f>SUM(AG19:AG20)</f>
        <v>932</v>
      </c>
      <c r="AH18" s="133">
        <f t="shared" si="4"/>
        <v>67.92792792792793</v>
      </c>
      <c r="AL18" s="17">
        <v>425</v>
      </c>
      <c r="AM18" s="125">
        <f>SUM(AM19:AM20)</f>
        <v>744</v>
      </c>
      <c r="AN18" s="133">
        <f t="shared" si="6"/>
        <v>75.05882352941175</v>
      </c>
    </row>
    <row r="19" spans="2:40" ht="15">
      <c r="B19" s="31"/>
      <c r="C19" s="33" t="s">
        <v>36</v>
      </c>
      <c r="D19" s="75">
        <v>-187</v>
      </c>
      <c r="E19" s="75">
        <v>700</v>
      </c>
      <c r="F19" s="75">
        <v>915</v>
      </c>
      <c r="G19" s="75">
        <v>698</v>
      </c>
      <c r="H19" s="121">
        <v>737</v>
      </c>
      <c r="J19" s="75">
        <v>204</v>
      </c>
      <c r="K19" s="75">
        <v>234</v>
      </c>
      <c r="L19" s="75">
        <v>83</v>
      </c>
      <c r="M19" s="75">
        <v>179</v>
      </c>
      <c r="N19" s="75">
        <v>260</v>
      </c>
      <c r="O19" s="75">
        <v>266</v>
      </c>
      <c r="P19" s="75">
        <v>235</v>
      </c>
      <c r="Q19" s="75">
        <v>154</v>
      </c>
      <c r="R19" s="75">
        <v>269</v>
      </c>
      <c r="S19" s="75">
        <v>146</v>
      </c>
      <c r="T19" s="75">
        <v>138</v>
      </c>
      <c r="U19" s="75">
        <v>145</v>
      </c>
      <c r="V19" s="75">
        <v>325</v>
      </c>
      <c r="W19" s="75">
        <v>139</v>
      </c>
      <c r="X19" s="75">
        <v>137</v>
      </c>
      <c r="Y19" s="75">
        <v>136</v>
      </c>
      <c r="Z19" s="121">
        <v>410</v>
      </c>
      <c r="AA19" s="121">
        <v>330</v>
      </c>
      <c r="AB19" s="122">
        <v>206</v>
      </c>
      <c r="AC19" s="19">
        <f>IF(AND(AB19=0,AB19=0),0,IF(OR(AND(AB19&gt;0,AA19&lt;=0),AND(AB19&lt;0,AA19&gt;=0)),"nm",IF(AND(AB19&lt;0,AA19&lt;0),IF(-(AB19/AA19-1)*100&lt;-100,"(&gt;100)",-(AB19/AA19-1)*100),IF((AB19/AA19-1)*100&gt;100,"&gt;100",(AB19/AA19-1)*100))))+1</f>
        <v>-36.57575757575757</v>
      </c>
      <c r="AD19" s="121">
        <f aca="true" t="shared" si="10" ref="AD19:AD24">IF(AND(AB19=0,X19=0),0,IF(OR(AND(AB19&gt;0,X19&lt;=0),AND(AB19&lt;0,X19&gt;=0)),"nm",IF(AND(AB19&lt;0,X19&lt;0),IF(-(AB19/X19-1)*100&lt;-100,"(&gt;100)",-(AB19/X19-1)*100),IF((AB19/X19-1)*100&gt;100,"&gt;100",(AB19/X19-1)*100))))</f>
        <v>50.364963503649626</v>
      </c>
      <c r="AE19" s="121"/>
      <c r="AF19" s="121">
        <v>601</v>
      </c>
      <c r="AG19" s="122">
        <v>946</v>
      </c>
      <c r="AH19" s="132">
        <f t="shared" si="4"/>
        <v>57.404326123128115</v>
      </c>
      <c r="AL19" s="121">
        <v>464</v>
      </c>
      <c r="AM19" s="122">
        <f>Z19+AA19</f>
        <v>740</v>
      </c>
      <c r="AN19" s="139">
        <f t="shared" si="6"/>
        <v>59.48275862068966</v>
      </c>
    </row>
    <row r="20" spans="2:40" ht="15">
      <c r="B20" s="31"/>
      <c r="C20" s="33" t="s">
        <v>37</v>
      </c>
      <c r="D20" s="75">
        <v>210</v>
      </c>
      <c r="E20" s="75">
        <v>-267</v>
      </c>
      <c r="F20" s="75">
        <v>-20</v>
      </c>
      <c r="G20" s="75">
        <v>-18</v>
      </c>
      <c r="H20" s="121">
        <v>-48</v>
      </c>
      <c r="J20" s="75">
        <v>-54</v>
      </c>
      <c r="K20" s="75">
        <v>-62</v>
      </c>
      <c r="L20" s="75">
        <v>-27</v>
      </c>
      <c r="M20" s="75">
        <v>-124</v>
      </c>
      <c r="N20" s="75">
        <v>-30</v>
      </c>
      <c r="O20" s="75">
        <v>12</v>
      </c>
      <c r="P20" s="75">
        <v>-12</v>
      </c>
      <c r="Q20" s="75">
        <v>10</v>
      </c>
      <c r="R20" s="75">
        <v>-11</v>
      </c>
      <c r="S20" s="75">
        <v>0</v>
      </c>
      <c r="T20" s="75">
        <v>5</v>
      </c>
      <c r="U20" s="75">
        <v>-12</v>
      </c>
      <c r="V20" s="75">
        <v>-33</v>
      </c>
      <c r="W20" s="75">
        <v>-6</v>
      </c>
      <c r="X20" s="75">
        <v>-7</v>
      </c>
      <c r="Y20" s="75">
        <v>-2</v>
      </c>
      <c r="Z20" s="121">
        <v>-2</v>
      </c>
      <c r="AA20" s="121">
        <v>6</v>
      </c>
      <c r="AB20" s="122">
        <v>-18</v>
      </c>
      <c r="AC20" s="19" t="str">
        <f t="shared" si="9"/>
        <v>nm</v>
      </c>
      <c r="AD20" s="121" t="str">
        <f t="shared" si="10"/>
        <v>(&gt;100)</v>
      </c>
      <c r="AE20" s="121"/>
      <c r="AF20" s="121">
        <v>-46</v>
      </c>
      <c r="AG20" s="122">
        <v>-14</v>
      </c>
      <c r="AH20" s="132">
        <f t="shared" si="4"/>
        <v>69.56521739130434</v>
      </c>
      <c r="AL20" s="121">
        <v>-39</v>
      </c>
      <c r="AM20" s="122">
        <f>Z20+AA20</f>
        <v>4</v>
      </c>
      <c r="AN20" s="139" t="str">
        <f t="shared" si="6"/>
        <v>nm</v>
      </c>
    </row>
    <row r="21" spans="2:40" s="18" customFormat="1" ht="14.25" customHeight="1">
      <c r="B21" s="31" t="s">
        <v>26</v>
      </c>
      <c r="D21" s="17">
        <v>433</v>
      </c>
      <c r="E21" s="17">
        <v>321</v>
      </c>
      <c r="F21" s="17">
        <v>456</v>
      </c>
      <c r="G21" s="17">
        <v>584</v>
      </c>
      <c r="H21" s="17">
        <v>511</v>
      </c>
      <c r="I21" s="17"/>
      <c r="J21" s="17">
        <v>119</v>
      </c>
      <c r="K21" s="17">
        <v>150</v>
      </c>
      <c r="L21" s="17">
        <v>20</v>
      </c>
      <c r="M21" s="17">
        <v>32</v>
      </c>
      <c r="N21" s="17">
        <v>76</v>
      </c>
      <c r="O21" s="17">
        <v>112</v>
      </c>
      <c r="P21" s="17">
        <v>167</v>
      </c>
      <c r="Q21" s="17">
        <v>101</v>
      </c>
      <c r="R21" s="17">
        <v>113</v>
      </c>
      <c r="S21" s="162">
        <f>SUM(S22:S24)</f>
        <v>106</v>
      </c>
      <c r="T21" s="162">
        <v>214</v>
      </c>
      <c r="U21" s="162">
        <v>151</v>
      </c>
      <c r="V21" s="162">
        <v>122</v>
      </c>
      <c r="W21" s="162">
        <v>109</v>
      </c>
      <c r="X21" s="162">
        <v>120</v>
      </c>
      <c r="Y21" s="162">
        <v>160</v>
      </c>
      <c r="Z21" s="17">
        <f>SUM(Z22:Z24)</f>
        <v>75</v>
      </c>
      <c r="AA21" s="17">
        <f>SUM(AA22:AA24)</f>
        <v>114</v>
      </c>
      <c r="AB21" s="125">
        <f>SUM(AB22:AB24)</f>
        <v>94</v>
      </c>
      <c r="AC21" s="19">
        <f>IF(AND(AB21=0,AB21=0),0,IF(OR(AND(AB21&gt;0,AA21&lt;=0),AND(AB21&lt;0,AA21&gt;=0)),"nm",IF(AND(AB21&lt;0,AA21&lt;0),IF(-(AB21/AA21-1)*100&lt;-100,"(&gt;100)",-(AB21/AA21-1)*100),IF((AB21/AA21-1)*100&gt;100,"&gt;100",(AB21/AA21-1)*100))))+1</f>
        <v>-16.543859649122805</v>
      </c>
      <c r="AD21" s="121">
        <f>IF(AND(AB21=0,X21=0),0,IF(OR(AND(AB21&gt;0,X21&lt;=0),AND(AB21&lt;0,X21&gt;=0)),"nm",IF(AND(AB21&lt;0,X21&lt;0),IF(-(AB21/X21-1)*100&lt;-100,"(&gt;100)",-(AB21/X21-1)*100),IF((AB21/X21-1)*100&gt;100,"&gt;100",(AB21/X21-1)*100))))+1</f>
        <v>-20.666666666666668</v>
      </c>
      <c r="AE21" s="17"/>
      <c r="AF21" s="17">
        <v>351</v>
      </c>
      <c r="AG21" s="125">
        <f>SUM(AG22:AG24)</f>
        <v>283</v>
      </c>
      <c r="AH21" s="133">
        <f t="shared" si="4"/>
        <v>-19.373219373219374</v>
      </c>
      <c r="AL21" s="17">
        <v>231</v>
      </c>
      <c r="AM21" s="125">
        <f>SUM(AM22:AM24)</f>
        <v>189</v>
      </c>
      <c r="AN21" s="133">
        <f t="shared" si="6"/>
        <v>-18.181818181818176</v>
      </c>
    </row>
    <row r="22" spans="3:40" ht="14.25">
      <c r="C22" s="33" t="s">
        <v>243</v>
      </c>
      <c r="D22" s="75">
        <v>367</v>
      </c>
      <c r="E22" s="75">
        <v>254</v>
      </c>
      <c r="F22" s="75">
        <v>310</v>
      </c>
      <c r="G22" s="75">
        <v>454</v>
      </c>
      <c r="H22" s="121">
        <v>419</v>
      </c>
      <c r="J22" s="75">
        <v>106</v>
      </c>
      <c r="K22" s="75">
        <v>138</v>
      </c>
      <c r="L22" s="75">
        <v>7</v>
      </c>
      <c r="M22" s="75">
        <v>3</v>
      </c>
      <c r="N22" s="75">
        <v>50</v>
      </c>
      <c r="O22" s="75">
        <v>98</v>
      </c>
      <c r="P22" s="75">
        <v>123</v>
      </c>
      <c r="Q22" s="75">
        <v>39</v>
      </c>
      <c r="R22" s="75">
        <v>84</v>
      </c>
      <c r="S22" s="121">
        <v>82</v>
      </c>
      <c r="T22" s="121">
        <v>152</v>
      </c>
      <c r="U22" s="121">
        <v>136</v>
      </c>
      <c r="V22" s="121">
        <v>109</v>
      </c>
      <c r="W22" s="121">
        <v>97</v>
      </c>
      <c r="X22" s="121">
        <v>110</v>
      </c>
      <c r="Y22" s="121">
        <v>103</v>
      </c>
      <c r="Z22" s="121">
        <v>66</v>
      </c>
      <c r="AA22" s="121">
        <v>45</v>
      </c>
      <c r="AB22" s="122">
        <v>83</v>
      </c>
      <c r="AC22" s="19">
        <f t="shared" si="9"/>
        <v>84.44444444444446</v>
      </c>
      <c r="AD22" s="121">
        <f>IF(AND(AB22=0,X22=0),0,IF(OR(AND(AB22&gt;0,X22&lt;=0),AND(AB22&lt;0,X22&gt;=0)),"nm",IF(AND(AB22&lt;0,X22&lt;0),IF(-(AB22/X22-1)*100&lt;-100,"(&gt;100)",-(AB22/X22-1)*100),IF((AB22/X22-1)*100&gt;100,"&gt;100",(AB22/X22-1)*100))))+1</f>
        <v>-23.545454545454547</v>
      </c>
      <c r="AE22" s="121"/>
      <c r="AF22" s="121">
        <v>316</v>
      </c>
      <c r="AG22" s="122">
        <v>194</v>
      </c>
      <c r="AH22" s="132">
        <f t="shared" si="4"/>
        <v>-38.60759493670886</v>
      </c>
      <c r="AL22" s="121">
        <v>206</v>
      </c>
      <c r="AM22" s="122">
        <f>Z22+AA22</f>
        <v>111</v>
      </c>
      <c r="AN22" s="139">
        <f t="shared" si="6"/>
        <v>-46.116504854368934</v>
      </c>
    </row>
    <row r="23" spans="3:40" ht="14.25">
      <c r="C23" s="33" t="s">
        <v>38</v>
      </c>
      <c r="D23" s="75">
        <v>5</v>
      </c>
      <c r="E23" s="75">
        <v>13</v>
      </c>
      <c r="F23" s="75">
        <v>103</v>
      </c>
      <c r="G23" s="75">
        <v>19</v>
      </c>
      <c r="H23" s="121">
        <v>49</v>
      </c>
      <c r="J23" s="75">
        <v>0</v>
      </c>
      <c r="K23" s="75">
        <v>0</v>
      </c>
      <c r="L23" s="75">
        <v>0</v>
      </c>
      <c r="M23" s="75">
        <v>13</v>
      </c>
      <c r="N23" s="75">
        <v>14</v>
      </c>
      <c r="O23" s="75">
        <v>3</v>
      </c>
      <c r="P23" s="75">
        <v>34</v>
      </c>
      <c r="Q23" s="75">
        <v>52</v>
      </c>
      <c r="R23" s="75">
        <v>6</v>
      </c>
      <c r="S23" s="121">
        <v>9</v>
      </c>
      <c r="T23" s="121">
        <v>1</v>
      </c>
      <c r="U23" s="121">
        <v>3</v>
      </c>
      <c r="V23" s="121">
        <v>2</v>
      </c>
      <c r="W23" s="121">
        <v>6</v>
      </c>
      <c r="X23" s="403">
        <v>0</v>
      </c>
      <c r="Y23" s="121">
        <v>41</v>
      </c>
      <c r="Z23" s="403">
        <v>0</v>
      </c>
      <c r="AA23" s="140">
        <v>44</v>
      </c>
      <c r="AB23" s="153">
        <v>0</v>
      </c>
      <c r="AC23" s="19">
        <f t="shared" si="9"/>
        <v>0</v>
      </c>
      <c r="AD23" s="121">
        <f t="shared" si="10"/>
        <v>0</v>
      </c>
      <c r="AE23" s="121"/>
      <c r="AF23" s="121">
        <v>8</v>
      </c>
      <c r="AG23" s="122">
        <v>44</v>
      </c>
      <c r="AH23" s="132" t="str">
        <f t="shared" si="4"/>
        <v>&gt;100</v>
      </c>
      <c r="AL23" s="121">
        <v>8</v>
      </c>
      <c r="AM23" s="122">
        <f>Z23+AA23</f>
        <v>44</v>
      </c>
      <c r="AN23" s="139" t="str">
        <f t="shared" si="6"/>
        <v>&gt;100</v>
      </c>
    </row>
    <row r="24" spans="3:40" ht="14.25">
      <c r="C24" s="33" t="s">
        <v>39</v>
      </c>
      <c r="D24" s="75">
        <v>61</v>
      </c>
      <c r="E24" s="75">
        <v>54</v>
      </c>
      <c r="F24" s="75">
        <v>43</v>
      </c>
      <c r="G24" s="75">
        <v>111</v>
      </c>
      <c r="H24" s="121">
        <v>43</v>
      </c>
      <c r="J24" s="75">
        <v>13</v>
      </c>
      <c r="K24" s="75">
        <v>12</v>
      </c>
      <c r="L24" s="75">
        <v>13</v>
      </c>
      <c r="M24" s="75">
        <v>16</v>
      </c>
      <c r="N24" s="75">
        <v>12</v>
      </c>
      <c r="O24" s="75">
        <v>11</v>
      </c>
      <c r="P24" s="75">
        <v>10</v>
      </c>
      <c r="Q24" s="75">
        <v>10</v>
      </c>
      <c r="R24" s="75">
        <v>23</v>
      </c>
      <c r="S24" s="121">
        <v>15</v>
      </c>
      <c r="T24" s="121">
        <v>61</v>
      </c>
      <c r="U24" s="121">
        <v>12</v>
      </c>
      <c r="V24" s="121">
        <v>11</v>
      </c>
      <c r="W24" s="121">
        <v>6</v>
      </c>
      <c r="X24" s="121">
        <v>10</v>
      </c>
      <c r="Y24" s="121">
        <v>16</v>
      </c>
      <c r="Z24" s="121">
        <v>9</v>
      </c>
      <c r="AA24" s="121">
        <f>7+18</f>
        <v>25</v>
      </c>
      <c r="AB24" s="122">
        <v>11</v>
      </c>
      <c r="AC24" s="19">
        <f t="shared" si="9"/>
        <v>-56.00000000000001</v>
      </c>
      <c r="AD24" s="121">
        <f t="shared" si="10"/>
        <v>10.000000000000009</v>
      </c>
      <c r="AE24" s="121"/>
      <c r="AF24" s="121">
        <v>27</v>
      </c>
      <c r="AG24" s="122">
        <v>45</v>
      </c>
      <c r="AH24" s="132">
        <f t="shared" si="4"/>
        <v>66.66666666666667</v>
      </c>
      <c r="AL24" s="121">
        <v>17</v>
      </c>
      <c r="AM24" s="122">
        <f>Z24+AA24</f>
        <v>34</v>
      </c>
      <c r="AN24" s="139">
        <f t="shared" si="6"/>
        <v>100</v>
      </c>
    </row>
    <row r="25" spans="3:40" ht="14.25">
      <c r="C25" s="22"/>
      <c r="H25" s="171"/>
      <c r="Z25" s="121"/>
      <c r="AA25" s="171"/>
      <c r="AB25" s="122"/>
      <c r="AC25" s="139"/>
      <c r="AD25" s="121"/>
      <c r="AE25" s="121"/>
      <c r="AF25" s="121"/>
      <c r="AG25" s="122"/>
      <c r="AH25" s="132"/>
      <c r="AN25" s="139"/>
    </row>
    <row r="26" spans="3:40" ht="14.25">
      <c r="C26" s="22"/>
      <c r="H26" s="171"/>
      <c r="Z26" s="121"/>
      <c r="AA26" s="171"/>
      <c r="AB26" s="122"/>
      <c r="AC26" s="132"/>
      <c r="AF26" s="121"/>
      <c r="AG26" s="122"/>
      <c r="AH26" s="132"/>
      <c r="AN26" s="139"/>
    </row>
    <row r="27" spans="3:40" ht="14.25">
      <c r="C27" s="22"/>
      <c r="H27" s="171"/>
      <c r="Z27" s="121"/>
      <c r="AA27" s="121"/>
      <c r="AB27" s="122"/>
      <c r="AC27" s="132"/>
      <c r="AF27" s="121"/>
      <c r="AG27" s="122"/>
      <c r="AH27" s="132"/>
      <c r="AL27" s="165"/>
      <c r="AM27" s="143"/>
      <c r="AN27" s="139"/>
    </row>
    <row r="28" spans="3:34" ht="14.25">
      <c r="C28" s="22"/>
      <c r="H28" s="171"/>
      <c r="Z28" s="121"/>
      <c r="AA28" s="121"/>
      <c r="AB28" s="122"/>
      <c r="AC28" s="132"/>
      <c r="AF28" s="121"/>
      <c r="AG28" s="122"/>
      <c r="AH28" s="132"/>
    </row>
    <row r="29" spans="3:34" ht="14.25">
      <c r="C29" s="22"/>
      <c r="H29" s="171"/>
      <c r="Z29" s="121"/>
      <c r="AA29" s="121"/>
      <c r="AB29" s="122"/>
      <c r="AC29" s="132"/>
      <c r="AF29" s="121"/>
      <c r="AG29" s="122"/>
      <c r="AH29" s="132"/>
    </row>
    <row r="30" spans="3:34" ht="14.25">
      <c r="C30" s="22"/>
      <c r="H30" s="171"/>
      <c r="Z30" s="121"/>
      <c r="AA30" s="121"/>
      <c r="AB30" s="122"/>
      <c r="AC30" s="132"/>
      <c r="AF30" s="121"/>
      <c r="AG30" s="122"/>
      <c r="AH30" s="132"/>
    </row>
    <row r="31" spans="3:34" ht="14.25">
      <c r="C31" s="22"/>
      <c r="H31" s="171"/>
      <c r="Z31" s="121"/>
      <c r="AA31" s="121"/>
      <c r="AB31" s="122"/>
      <c r="AC31" s="132"/>
      <c r="AF31" s="121"/>
      <c r="AG31" s="122"/>
      <c r="AH31" s="132"/>
    </row>
    <row r="32" spans="3:34" ht="14.25">
      <c r="C32" s="22"/>
      <c r="H32" s="171"/>
      <c r="Z32" s="121"/>
      <c r="AA32" s="121"/>
      <c r="AB32" s="122"/>
      <c r="AC32" s="132"/>
      <c r="AF32" s="121"/>
      <c r="AG32" s="122"/>
      <c r="AH32" s="132"/>
    </row>
    <row r="33" spans="3:34" ht="14.25">
      <c r="C33" s="22"/>
      <c r="H33" s="171"/>
      <c r="Z33" s="121"/>
      <c r="AA33" s="121"/>
      <c r="AB33" s="122"/>
      <c r="AC33" s="132"/>
      <c r="AF33" s="121"/>
      <c r="AG33" s="122"/>
      <c r="AH33" s="132"/>
    </row>
    <row r="34" spans="3:34" ht="14.25">
      <c r="C34" s="22"/>
      <c r="H34" s="171"/>
      <c r="Z34" s="121"/>
      <c r="AA34" s="121"/>
      <c r="AB34" s="122"/>
      <c r="AC34" s="132"/>
      <c r="AF34" s="121"/>
      <c r="AG34" s="122"/>
      <c r="AH34" s="132"/>
    </row>
    <row r="35" spans="3:33" ht="14.25">
      <c r="C35" s="429" t="s">
        <v>407</v>
      </c>
      <c r="Z35" s="121"/>
      <c r="AA35" s="121"/>
      <c r="AB35" s="122"/>
      <c r="AC35" s="132"/>
      <c r="AF35" s="121"/>
      <c r="AG35" s="352"/>
    </row>
    <row r="36" spans="3:33" ht="14.25">
      <c r="C36" s="429" t="s">
        <v>409</v>
      </c>
      <c r="AF36" s="355"/>
      <c r="AG36" s="352"/>
    </row>
    <row r="37" spans="32:33" ht="14.25">
      <c r="AF37" s="355"/>
      <c r="AG37" s="352"/>
    </row>
  </sheetData>
  <sheetProtection/>
  <mergeCells count="1">
    <mergeCell ref="A2:C2"/>
  </mergeCells>
  <hyperlinks>
    <hyperlink ref="A2" location="Index!A1" display="Back to Index"/>
  </hyperlinks>
  <printOptions gridLines="1"/>
  <pageMargins left="0.5511811023622047" right="0.5511811023622047" top="0.984251968503937" bottom="0.984251968503937" header="0.5118110236220472" footer="0.5118110236220472"/>
  <pageSetup fitToHeight="1" fitToWidth="1" horizontalDpi="600" verticalDpi="600" orientation="landscape" scale="80" r:id="rId1"/>
  <headerFooter alignWithMargins="0">
    <oddHeader>&amp;C&amp;A</oddHeader>
    <oddFooter>&amp;L&amp;Z&amp;F &amp;D &amp;T</oddFooter>
  </headerFooter>
  <ignoredErrors>
    <ignoredError sqref="Z17:Z18 AM21 AC19:AC21" formula="1"/>
  </ignoredErrors>
</worksheet>
</file>

<file path=xl/worksheets/sheet6.xml><?xml version="1.0" encoding="utf-8"?>
<worksheet xmlns="http://schemas.openxmlformats.org/spreadsheetml/2006/main" xmlns:r="http://schemas.openxmlformats.org/officeDocument/2006/relationships">
  <sheetPr>
    <tabColor indexed="47"/>
    <pageSetUpPr fitToPage="1"/>
  </sheetPr>
  <dimension ref="A1:AM27"/>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A23" sqref="AA23"/>
    </sheetView>
  </sheetViews>
  <sheetFormatPr defaultColWidth="9.140625" defaultRowHeight="12.75" outlineLevelCol="1"/>
  <cols>
    <col min="1" max="1" width="2.140625" style="22" customWidth="1"/>
    <col min="2" max="2" width="3.140625" style="22" customWidth="1"/>
    <col min="3" max="3" width="56.421875" style="10" customWidth="1"/>
    <col min="4" max="4" width="8.7109375" style="76" hidden="1" customWidth="1" outlineLevel="1"/>
    <col min="5" max="8" width="9.140625" style="75" hidden="1" customWidth="1" outlineLevel="1"/>
    <col min="9" max="9" width="3.57421875" style="75" hidden="1" customWidth="1" outlineLevel="1"/>
    <col min="10" max="11" width="8.7109375" style="75" hidden="1" customWidth="1" outlineLevel="1"/>
    <col min="12" max="14" width="8.57421875" style="75" hidden="1" customWidth="1" outlineLevel="1"/>
    <col min="15" max="17" width="8.7109375" style="75" hidden="1" customWidth="1" outlineLevel="1"/>
    <col min="18" max="18" width="8.7109375" style="75" hidden="1" customWidth="1" outlineLevel="1" collapsed="1"/>
    <col min="19" max="19" width="8.7109375" style="75" hidden="1" customWidth="1" outlineLevel="1"/>
    <col min="20" max="20" width="8.7109375" style="75" hidden="1" customWidth="1" outlineLevel="1" collapsed="1"/>
    <col min="21" max="21" width="8.7109375" style="75" hidden="1" customWidth="1" outlineLevel="1"/>
    <col min="22" max="22" width="8.7109375" style="75" customWidth="1" collapsed="1"/>
    <col min="23" max="25" width="8.7109375" style="75" customWidth="1"/>
    <col min="26" max="27" width="8.7109375" style="75" bestFit="1" customWidth="1"/>
    <col min="28" max="28" width="8.7109375" style="119" bestFit="1" customWidth="1"/>
    <col min="29" max="29" width="8.57421875" style="75" bestFit="1" customWidth="1"/>
    <col min="30" max="30" width="7.7109375" style="75" customWidth="1"/>
    <col min="31" max="31" width="4.28125" style="75" customWidth="1"/>
    <col min="32" max="32" width="8.57421875" style="75" customWidth="1"/>
    <col min="33" max="33" width="8.57421875" style="119" customWidth="1"/>
    <col min="34" max="34" width="8.421875" style="75" customWidth="1"/>
    <col min="35" max="36" width="9.140625" style="22" hidden="1" customWidth="1"/>
    <col min="37" max="37" width="9.421875" style="121" hidden="1" customWidth="1"/>
    <col min="38" max="38" width="9.421875" style="122" hidden="1" customWidth="1"/>
    <col min="39" max="39" width="8.57421875" style="121" hidden="1" customWidth="1"/>
    <col min="40" max="16384" width="9.140625" style="22" customWidth="1"/>
  </cols>
  <sheetData>
    <row r="1" spans="1:39" s="42" customFormat="1" ht="20.25">
      <c r="A1" s="41" t="s">
        <v>0</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K1" s="124"/>
      <c r="AL1" s="124"/>
      <c r="AM1" s="124"/>
    </row>
    <row r="2" spans="1:39"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+'4.NonInterest'!AC2</f>
        <v>3Q13
vs 
2Q13</v>
      </c>
      <c r="AD2" s="285" t="str">
        <f>+'4.NonInterest'!AD2</f>
        <v>3Q13
vs 
3Q12</v>
      </c>
      <c r="AE2" s="45"/>
      <c r="AF2" s="74" t="s">
        <v>442</v>
      </c>
      <c r="AG2" s="74" t="s">
        <v>443</v>
      </c>
      <c r="AH2" s="285" t="s">
        <v>444</v>
      </c>
      <c r="AK2" s="285" t="str">
        <f>'4.NonInterest'!AL2</f>
        <v>1H12</v>
      </c>
      <c r="AL2" s="285" t="str">
        <f>+'4.NonInterest'!AM2</f>
        <v>1H13</v>
      </c>
      <c r="AM2" s="285" t="str">
        <f>+'4.NonInterest'!AN2</f>
        <v>1H13
vs 
1H12</v>
      </c>
    </row>
    <row r="3" spans="1:39" s="24" customFormat="1" ht="7.5" customHeight="1">
      <c r="A3" s="9"/>
      <c r="D3" s="8"/>
      <c r="E3" s="17"/>
      <c r="F3" s="17"/>
      <c r="G3" s="17"/>
      <c r="H3" s="17"/>
      <c r="I3" s="17"/>
      <c r="J3" s="17"/>
      <c r="K3" s="17"/>
      <c r="L3" s="17"/>
      <c r="M3" s="17"/>
      <c r="N3" s="17"/>
      <c r="O3" s="17"/>
      <c r="P3" s="17"/>
      <c r="Q3" s="17"/>
      <c r="R3" s="17"/>
      <c r="S3" s="17"/>
      <c r="T3" s="17"/>
      <c r="U3" s="17"/>
      <c r="V3" s="17"/>
      <c r="W3" s="17"/>
      <c r="X3" s="17"/>
      <c r="Y3" s="17"/>
      <c r="Z3" s="17"/>
      <c r="AA3" s="17"/>
      <c r="AB3" s="125"/>
      <c r="AC3" s="17"/>
      <c r="AD3" s="17"/>
      <c r="AE3" s="32"/>
      <c r="AF3" s="17"/>
      <c r="AG3" s="125"/>
      <c r="AH3" s="17"/>
      <c r="AK3" s="17"/>
      <c r="AL3" s="125"/>
      <c r="AM3" s="17"/>
    </row>
    <row r="4" spans="1:39" s="24" customFormat="1" ht="14.25" customHeight="1">
      <c r="A4" s="47" t="s">
        <v>103</v>
      </c>
      <c r="D4" s="8"/>
      <c r="E4" s="17"/>
      <c r="F4" s="17"/>
      <c r="G4" s="17"/>
      <c r="H4" s="17"/>
      <c r="I4" s="17"/>
      <c r="J4" s="17"/>
      <c r="K4" s="17"/>
      <c r="L4" s="17"/>
      <c r="M4" s="17"/>
      <c r="N4" s="17"/>
      <c r="O4" s="17"/>
      <c r="P4" s="17"/>
      <c r="Q4" s="17"/>
      <c r="R4" s="17"/>
      <c r="S4" s="17"/>
      <c r="T4" s="17"/>
      <c r="U4" s="17"/>
      <c r="V4" s="17"/>
      <c r="W4" s="17"/>
      <c r="X4" s="17"/>
      <c r="Y4" s="17"/>
      <c r="Z4" s="17"/>
      <c r="AA4" s="17"/>
      <c r="AB4" s="125"/>
      <c r="AC4" s="17"/>
      <c r="AD4" s="17"/>
      <c r="AE4" s="32"/>
      <c r="AF4" s="17"/>
      <c r="AG4" s="498"/>
      <c r="AH4" s="17"/>
      <c r="AK4" s="17"/>
      <c r="AL4" s="144"/>
      <c r="AM4" s="17"/>
    </row>
    <row r="5" spans="1:39" s="18" customFormat="1" ht="15">
      <c r="A5" s="31" t="s">
        <v>0</v>
      </c>
      <c r="D5" s="17">
        <v>2610</v>
      </c>
      <c r="E5" s="17">
        <v>2604</v>
      </c>
      <c r="F5" s="17">
        <v>2925</v>
      </c>
      <c r="G5" s="17">
        <v>3303</v>
      </c>
      <c r="H5" s="17">
        <v>3614</v>
      </c>
      <c r="I5" s="17"/>
      <c r="J5" s="17">
        <v>638</v>
      </c>
      <c r="K5" s="17">
        <v>631</v>
      </c>
      <c r="L5" s="17">
        <v>635</v>
      </c>
      <c r="M5" s="17">
        <v>700</v>
      </c>
      <c r="N5" s="17">
        <v>702</v>
      </c>
      <c r="O5" s="17">
        <v>717</v>
      </c>
      <c r="P5" s="17">
        <v>726</v>
      </c>
      <c r="Q5" s="17">
        <v>780</v>
      </c>
      <c r="R5" s="17">
        <f>SUM(R6:R7)</f>
        <v>773</v>
      </c>
      <c r="S5" s="17">
        <v>798</v>
      </c>
      <c r="T5" s="17">
        <v>847</v>
      </c>
      <c r="U5" s="17">
        <v>885</v>
      </c>
      <c r="V5" s="17">
        <v>898</v>
      </c>
      <c r="W5" s="17">
        <v>872</v>
      </c>
      <c r="X5" s="17">
        <v>901.1</v>
      </c>
      <c r="Y5" s="17">
        <v>943.1</v>
      </c>
      <c r="Z5" s="17">
        <f>SUM(Z6:Z7)</f>
        <v>952</v>
      </c>
      <c r="AA5" s="17">
        <f>SUM(AA6:AA7)</f>
        <v>987</v>
      </c>
      <c r="AB5" s="125">
        <f>SUM(AB6:AB7)</f>
        <v>949</v>
      </c>
      <c r="AC5" s="19">
        <f aca="true" t="shared" si="0" ref="AC5:AC11">IF(AND(AB5=0,AB5=0),0,IF(OR(AND(AB5&gt;0,AA5&lt;=0),AND(AB5&lt;0,AA5&gt;=0)),"nm",IF(AND(AB5&lt;0,AA5&lt;0),IF(-(AB5/AA5-1)*100&lt;-100,"(&gt;100)",-(AB5/AA5-1)*100),IF((AB5/AA5-1)*100&gt;100,"&gt;100",(AB5/AA5-1)*100))))</f>
        <v>-3.8500506585612992</v>
      </c>
      <c r="AD5" s="121">
        <f aca="true" t="shared" si="1" ref="AD5:AD11">IF(AND(AB5=0,X5=0),0,IF(OR(AND(AB5&gt;0,X5&lt;=0),AND(AB5&lt;0,X5&gt;=0)),"nm",IF(AND(AB5&lt;0,X5&lt;0),IF(-(AB5/X5-1)*100&lt;-100,"(&gt;100)",-(AB5/X5-1)*100),IF((AB5/X5-1)*100&gt;100,"&gt;100",(AB5/X5-1)*100))))</f>
        <v>5.315725224725343</v>
      </c>
      <c r="AE5" s="17"/>
      <c r="AF5" s="17">
        <v>2671</v>
      </c>
      <c r="AG5" s="125">
        <f>SUM(AG6:AG7)</f>
        <v>2888</v>
      </c>
      <c r="AH5" s="104">
        <f>IF(AND(AG5=0,AF5=0),0,IF(OR(AND(AG5&gt;0,AF5&lt;=0),AND(AG5&lt;0,AF5&gt;=0)),"nm",IF(AND(AG5&lt;0,AF5&lt;0),IF(-(AG5/AF5-1)*100&lt;-100,"(&gt;100)",-(AG5/AF5-1)*100),IF((AG5/AF5-1)*100&gt;100,"&gt;100",(AG5/AF5-1)*100))))</f>
        <v>8.124298015724452</v>
      </c>
      <c r="AI5" s="15">
        <f>(AA5-Z5)/Z5*100</f>
        <v>3.6764705882352944</v>
      </c>
      <c r="AJ5" s="15">
        <f>(AA5-W5)/W5*100</f>
        <v>13.188073394495412</v>
      </c>
      <c r="AK5" s="17">
        <v>1770</v>
      </c>
      <c r="AL5" s="125">
        <f>AA5+Z5</f>
        <v>1939</v>
      </c>
      <c r="AM5" s="104">
        <f>IF(AND(AL5=0,AK5=0),0,IF(OR(AND(AL5&gt;0,AK5&lt;=0),AND(AL5&lt;0,AK5&gt;=0)),"nm",IF(AND(AL5&lt;0,AK5&lt;0),IF(-(AL5/AK5-1)*100&lt;-100,"(&gt;100)",-(AL5/AK5-1)*100),IF((AL5/AK5-1)*100&gt;100,"&gt;100",(AL5/AK5-1)*100))))</f>
        <v>9.548022598870066</v>
      </c>
    </row>
    <row r="6" spans="2:39" s="18" customFormat="1" ht="15">
      <c r="B6" s="31" t="s">
        <v>40</v>
      </c>
      <c r="D6" s="17">
        <v>1256</v>
      </c>
      <c r="E6" s="17">
        <v>1292</v>
      </c>
      <c r="F6" s="17">
        <v>1422</v>
      </c>
      <c r="G6" s="17">
        <v>1712</v>
      </c>
      <c r="H6" s="17">
        <v>1888</v>
      </c>
      <c r="I6" s="17"/>
      <c r="J6" s="17">
        <v>327</v>
      </c>
      <c r="K6" s="17">
        <v>330</v>
      </c>
      <c r="L6" s="17">
        <v>322</v>
      </c>
      <c r="M6" s="17">
        <v>313</v>
      </c>
      <c r="N6" s="17">
        <v>338</v>
      </c>
      <c r="O6" s="17">
        <v>362</v>
      </c>
      <c r="P6" s="17">
        <v>360</v>
      </c>
      <c r="Q6" s="17">
        <v>362</v>
      </c>
      <c r="R6" s="17">
        <v>405</v>
      </c>
      <c r="S6" s="17">
        <v>423</v>
      </c>
      <c r="T6" s="17">
        <v>444</v>
      </c>
      <c r="U6" s="17">
        <v>440</v>
      </c>
      <c r="V6" s="17">
        <v>485</v>
      </c>
      <c r="W6" s="17">
        <v>466</v>
      </c>
      <c r="X6" s="17">
        <v>482</v>
      </c>
      <c r="Y6" s="17">
        <v>455</v>
      </c>
      <c r="Z6" s="17">
        <v>506</v>
      </c>
      <c r="AA6" s="17">
        <v>521</v>
      </c>
      <c r="AB6" s="125">
        <v>511</v>
      </c>
      <c r="AC6" s="19">
        <f t="shared" si="0"/>
        <v>-1.9193857965451033</v>
      </c>
      <c r="AD6" s="121">
        <f t="shared" si="1"/>
        <v>6.016597510373445</v>
      </c>
      <c r="AE6" s="17"/>
      <c r="AF6" s="17">
        <v>1433</v>
      </c>
      <c r="AG6" s="125">
        <v>1538</v>
      </c>
      <c r="AH6" s="133">
        <f aca="true" t="shared" si="2" ref="AH6:AH11">IF(AND(AG6=0,AF6=0),0,IF(OR(AND(AG6&gt;0,AF6&lt;=0),AND(AG6&lt;0,AF6&gt;=0)),"nm",IF(AND(AG6&lt;0,AF6&lt;0),IF(-(AG6/AF6-1)*100&lt;-100,"(&gt;100)",-(AG6/AF6-1)*100),IF((AG6/AF6-1)*100&gt;100,"&gt;100",(AG6/AF6-1)*100))))</f>
        <v>7.327285415212836</v>
      </c>
      <c r="AI6" s="15">
        <f aca="true" t="shared" si="3" ref="AI6:AI11">(AA6-Z6)/Z6*100</f>
        <v>2.9644268774703555</v>
      </c>
      <c r="AJ6" s="15">
        <f aca="true" t="shared" si="4" ref="AJ6:AJ11">(AA6-W6)/W6*100</f>
        <v>11.802575107296137</v>
      </c>
      <c r="AK6" s="17">
        <v>951</v>
      </c>
      <c r="AL6" s="125">
        <f aca="true" t="shared" si="5" ref="AL6:AL11">AA6+Z6</f>
        <v>1027</v>
      </c>
      <c r="AM6" s="133">
        <f>IF(AND(AL6=0,AK6=0),0,IF(OR(AND(AL6&gt;0,AK6&lt;=0),AND(AL6&lt;0,AK6&gt;=0)),"nm",IF(AND(AL6&lt;0,AK6&lt;0),IF(-(AL6/AK6-1)*100&lt;-100,"(&gt;100)",-(AL6/AK6-1)*100),IF((AL6/AK6-1)*100&gt;100,"&gt;100",(AL6/AK6-1)*100))))</f>
        <v>7.991587802313349</v>
      </c>
    </row>
    <row r="7" spans="2:39" s="18" customFormat="1" ht="15">
      <c r="B7" s="31" t="s">
        <v>41</v>
      </c>
      <c r="D7" s="17">
        <v>1354</v>
      </c>
      <c r="E7" s="17">
        <v>1312</v>
      </c>
      <c r="F7" s="17">
        <v>1503</v>
      </c>
      <c r="G7" s="17">
        <v>1591</v>
      </c>
      <c r="H7" s="17">
        <v>1726</v>
      </c>
      <c r="I7" s="17"/>
      <c r="J7" s="17">
        <v>311</v>
      </c>
      <c r="K7" s="17">
        <v>301</v>
      </c>
      <c r="L7" s="17">
        <v>313</v>
      </c>
      <c r="M7" s="17">
        <v>387</v>
      </c>
      <c r="N7" s="17">
        <v>364</v>
      </c>
      <c r="O7" s="17">
        <v>355</v>
      </c>
      <c r="P7" s="17">
        <v>366</v>
      </c>
      <c r="Q7" s="17">
        <v>418</v>
      </c>
      <c r="R7" s="17">
        <v>368</v>
      </c>
      <c r="S7" s="17">
        <v>375</v>
      </c>
      <c r="T7" s="17">
        <v>403</v>
      </c>
      <c r="U7" s="17">
        <v>445</v>
      </c>
      <c r="V7" s="17">
        <v>413</v>
      </c>
      <c r="W7" s="17">
        <v>406</v>
      </c>
      <c r="X7" s="17">
        <v>419.1</v>
      </c>
      <c r="Y7" s="17">
        <v>488.1</v>
      </c>
      <c r="Z7" s="17">
        <f>SUM(Z8:Z11)</f>
        <v>446</v>
      </c>
      <c r="AA7" s="17">
        <f>SUM(AA8:AA11)</f>
        <v>466</v>
      </c>
      <c r="AB7" s="125">
        <f>SUM(AB8:AB11)</f>
        <v>438</v>
      </c>
      <c r="AC7" s="19">
        <f t="shared" si="0"/>
        <v>-6.008583690987123</v>
      </c>
      <c r="AD7" s="121">
        <f t="shared" si="1"/>
        <v>4.509663564781663</v>
      </c>
      <c r="AE7" s="17"/>
      <c r="AF7" s="17">
        <v>1238</v>
      </c>
      <c r="AG7" s="125">
        <f>SUM(AG8:AG11)</f>
        <v>1350</v>
      </c>
      <c r="AH7" s="133">
        <f t="shared" si="2"/>
        <v>9.04684975767367</v>
      </c>
      <c r="AI7" s="15">
        <f t="shared" si="3"/>
        <v>4.484304932735426</v>
      </c>
      <c r="AJ7" s="15">
        <f t="shared" si="4"/>
        <v>14.77832512315271</v>
      </c>
      <c r="AK7" s="17">
        <v>819</v>
      </c>
      <c r="AL7" s="125">
        <f t="shared" si="5"/>
        <v>912</v>
      </c>
      <c r="AM7" s="133">
        <f>IF(AND(AL7=0,AK7=0),0,IF(OR(AND(AL7&gt;0,AK7&lt;=0),AND(AL7&lt;0,AK7&gt;=0)),"nm",IF(AND(AL7&lt;0,AK7&lt;0),IF(-(AL7/AK7-1)*100&lt;-100,"(&gt;100)",-(AL7/AK7-1)*100),IF((AL7/AK7-1)*100&gt;100,"&gt;100",(AL7/AK7-1)*100))))</f>
        <v>11.35531135531136</v>
      </c>
    </row>
    <row r="8" spans="2:39" ht="15">
      <c r="B8" s="31"/>
      <c r="C8" s="33" t="s">
        <v>42</v>
      </c>
      <c r="D8" s="75">
        <v>253</v>
      </c>
      <c r="E8" s="75">
        <v>265</v>
      </c>
      <c r="F8" s="75">
        <v>269</v>
      </c>
      <c r="G8" s="75">
        <v>291</v>
      </c>
      <c r="H8" s="121">
        <v>330</v>
      </c>
      <c r="J8" s="75">
        <v>71</v>
      </c>
      <c r="K8" s="75">
        <v>67</v>
      </c>
      <c r="L8" s="75">
        <v>71</v>
      </c>
      <c r="M8" s="75">
        <v>56</v>
      </c>
      <c r="N8" s="75">
        <v>70</v>
      </c>
      <c r="O8" s="75">
        <v>65</v>
      </c>
      <c r="P8" s="75">
        <v>67</v>
      </c>
      <c r="Q8" s="75">
        <v>67</v>
      </c>
      <c r="R8" s="75">
        <v>70</v>
      </c>
      <c r="S8" s="75">
        <v>72</v>
      </c>
      <c r="T8" s="75">
        <v>75</v>
      </c>
      <c r="U8" s="75">
        <v>74</v>
      </c>
      <c r="V8" s="75">
        <v>78.9</v>
      </c>
      <c r="W8" s="75">
        <v>80</v>
      </c>
      <c r="X8" s="75">
        <v>82</v>
      </c>
      <c r="Y8" s="75">
        <v>89.1</v>
      </c>
      <c r="Z8" s="121">
        <v>88</v>
      </c>
      <c r="AA8" s="121">
        <v>95</v>
      </c>
      <c r="AB8" s="122">
        <v>91</v>
      </c>
      <c r="AC8" s="19">
        <f t="shared" si="0"/>
        <v>-4.210526315789476</v>
      </c>
      <c r="AD8" s="121">
        <f t="shared" si="1"/>
        <v>10.97560975609757</v>
      </c>
      <c r="AF8" s="121">
        <v>241</v>
      </c>
      <c r="AG8" s="122">
        <v>274</v>
      </c>
      <c r="AH8" s="132">
        <f t="shared" si="2"/>
        <v>13.692946058091282</v>
      </c>
      <c r="AI8" s="15">
        <f t="shared" si="3"/>
        <v>7.954545454545454</v>
      </c>
      <c r="AJ8" s="15">
        <f t="shared" si="4"/>
        <v>18.75</v>
      </c>
      <c r="AK8" s="121">
        <v>159</v>
      </c>
      <c r="AL8" s="122">
        <f t="shared" si="5"/>
        <v>183</v>
      </c>
      <c r="AM8" s="139">
        <f>IF(AND(AL8=0,AK8=0),0,IF(OR(AND(AL8&gt;0,AK8&lt;=0),AND(AL8&lt;0,AK8&gt;=0)),"nm",IF(AND(AL8&lt;0,AK8&lt;0),IF(-(AL8/AK8-1)*100&lt;-100,"(&gt;100)",-(AL8/AK8-1)*100),IF((AL8/AK8-1)*100&gt;100,"&gt;100",(AL8/AK8-1)*100))))</f>
        <v>15.094339622641506</v>
      </c>
    </row>
    <row r="9" spans="2:39" ht="15">
      <c r="B9" s="31"/>
      <c r="C9" s="33" t="s">
        <v>43</v>
      </c>
      <c r="D9" s="75">
        <v>452</v>
      </c>
      <c r="E9" s="75">
        <v>473</v>
      </c>
      <c r="F9" s="75">
        <v>569</v>
      </c>
      <c r="G9" s="75">
        <v>640</v>
      </c>
      <c r="H9" s="121">
        <v>622</v>
      </c>
      <c r="J9" s="75">
        <v>112</v>
      </c>
      <c r="K9" s="75">
        <v>104</v>
      </c>
      <c r="L9" s="75">
        <v>114</v>
      </c>
      <c r="M9" s="75">
        <v>143</v>
      </c>
      <c r="N9" s="75">
        <v>129</v>
      </c>
      <c r="O9" s="75">
        <v>131</v>
      </c>
      <c r="P9" s="75">
        <v>145</v>
      </c>
      <c r="Q9" s="75">
        <v>164</v>
      </c>
      <c r="R9" s="75">
        <v>152</v>
      </c>
      <c r="S9" s="75">
        <v>147</v>
      </c>
      <c r="T9" s="75">
        <v>163</v>
      </c>
      <c r="U9" s="75">
        <v>178</v>
      </c>
      <c r="V9" s="75">
        <v>148</v>
      </c>
      <c r="W9" s="75">
        <v>146</v>
      </c>
      <c r="X9" s="75">
        <v>148</v>
      </c>
      <c r="Y9" s="75">
        <v>180</v>
      </c>
      <c r="Z9" s="121">
        <v>167</v>
      </c>
      <c r="AA9" s="121">
        <v>167</v>
      </c>
      <c r="AB9" s="122">
        <v>160</v>
      </c>
      <c r="AC9" s="19">
        <f t="shared" si="0"/>
        <v>-4.191616766467066</v>
      </c>
      <c r="AD9" s="121">
        <f t="shared" si="1"/>
        <v>8.108108108108114</v>
      </c>
      <c r="AF9" s="121">
        <v>442</v>
      </c>
      <c r="AG9" s="122">
        <v>494</v>
      </c>
      <c r="AH9" s="132">
        <f t="shared" si="2"/>
        <v>11.764705882352944</v>
      </c>
      <c r="AI9" s="15">
        <f t="shared" si="3"/>
        <v>0</v>
      </c>
      <c r="AJ9" s="15">
        <f t="shared" si="4"/>
        <v>14.383561643835616</v>
      </c>
      <c r="AK9" s="121">
        <v>294</v>
      </c>
      <c r="AL9" s="122">
        <f t="shared" si="5"/>
        <v>334</v>
      </c>
      <c r="AM9" s="139">
        <f>IF(AND(AL9=0,AK9=0),0,IF(OR(AND(AL9&gt;0,AK9&lt;=0),AND(AL9&lt;0,AK9&gt;=0)),"nm",IF(AND(AL9&lt;0,AK9&lt;0),IF(-(AL9/AK9-1)*100&lt;-100,"(&gt;100)",-(AL9/AK9-1)*100),IF((AL9/AK9-1)*100&gt;100,"&gt;100",(AL9/AK9-1)*100))))</f>
        <v>13.605442176870742</v>
      </c>
    </row>
    <row r="10" spans="2:39" ht="15">
      <c r="B10" s="31"/>
      <c r="C10" s="33" t="s">
        <v>44</v>
      </c>
      <c r="D10" s="75">
        <v>147</v>
      </c>
      <c r="E10" s="75">
        <v>132</v>
      </c>
      <c r="F10" s="75">
        <v>136</v>
      </c>
      <c r="G10" s="75">
        <v>170</v>
      </c>
      <c r="H10" s="121">
        <v>222</v>
      </c>
      <c r="J10" s="75">
        <v>33</v>
      </c>
      <c r="K10" s="75">
        <v>33</v>
      </c>
      <c r="L10" s="75">
        <v>27</v>
      </c>
      <c r="M10" s="75">
        <v>39</v>
      </c>
      <c r="N10" s="75">
        <v>31</v>
      </c>
      <c r="O10" s="75">
        <v>35</v>
      </c>
      <c r="P10" s="75">
        <v>33</v>
      </c>
      <c r="Q10" s="75">
        <v>37</v>
      </c>
      <c r="R10" s="75">
        <v>38</v>
      </c>
      <c r="S10" s="75">
        <v>39</v>
      </c>
      <c r="T10" s="75">
        <v>51</v>
      </c>
      <c r="U10" s="75">
        <v>42</v>
      </c>
      <c r="V10" s="75">
        <v>57</v>
      </c>
      <c r="W10" s="75">
        <v>59</v>
      </c>
      <c r="X10" s="75">
        <v>46</v>
      </c>
      <c r="Y10" s="75">
        <v>60</v>
      </c>
      <c r="Z10" s="121">
        <v>50</v>
      </c>
      <c r="AA10" s="121">
        <v>58</v>
      </c>
      <c r="AB10" s="122">
        <v>56</v>
      </c>
      <c r="AC10" s="19">
        <f t="shared" si="0"/>
        <v>-3.4482758620689613</v>
      </c>
      <c r="AD10" s="121">
        <f t="shared" si="1"/>
        <v>21.739130434782616</v>
      </c>
      <c r="AF10" s="121">
        <v>162</v>
      </c>
      <c r="AG10" s="122">
        <v>164</v>
      </c>
      <c r="AH10" s="132">
        <f t="shared" si="2"/>
        <v>1.2345679012345734</v>
      </c>
      <c r="AI10" s="15">
        <f t="shared" si="3"/>
        <v>16</v>
      </c>
      <c r="AJ10" s="15">
        <f t="shared" si="4"/>
        <v>-1.694915254237288</v>
      </c>
      <c r="AK10" s="121">
        <v>116</v>
      </c>
      <c r="AL10" s="122">
        <f t="shared" si="5"/>
        <v>108</v>
      </c>
      <c r="AM10" s="139">
        <f>IF(AND(AL10=0,AK10=0),0,IF(OR(AND(AL10&gt;0,AK10&lt;=0),AND(AL10&lt;0,AK10&gt;=0)),"nm",IF(AND(AL10&lt;0,AK10&lt;0),IF(-(AL10/AK10-1)*100&lt;-100,"(&gt;100)",-(AL10/AK10-1)*100),IF((AL10/AK10-1)*100&gt;100,"&gt;100",(AL10/AK10-1)*100))))</f>
        <v>-6.896551724137934</v>
      </c>
    </row>
    <row r="11" spans="3:39" ht="15">
      <c r="C11" s="33" t="s">
        <v>45</v>
      </c>
      <c r="D11" s="75">
        <v>502</v>
      </c>
      <c r="E11" s="75">
        <v>442</v>
      </c>
      <c r="F11" s="75">
        <v>529</v>
      </c>
      <c r="G11" s="75">
        <v>490</v>
      </c>
      <c r="H11" s="121">
        <v>552</v>
      </c>
      <c r="J11" s="75">
        <v>95</v>
      </c>
      <c r="K11" s="75">
        <v>97</v>
      </c>
      <c r="L11" s="75">
        <v>101</v>
      </c>
      <c r="M11" s="75">
        <v>149</v>
      </c>
      <c r="N11" s="75">
        <v>134</v>
      </c>
      <c r="O11" s="75">
        <v>124</v>
      </c>
      <c r="P11" s="75">
        <v>121</v>
      </c>
      <c r="Q11" s="75">
        <v>150</v>
      </c>
      <c r="R11" s="75">
        <v>108</v>
      </c>
      <c r="S11" s="75">
        <v>117</v>
      </c>
      <c r="T11" s="75">
        <v>114</v>
      </c>
      <c r="U11" s="75">
        <v>151</v>
      </c>
      <c r="V11" s="75">
        <v>129</v>
      </c>
      <c r="W11" s="75">
        <v>121</v>
      </c>
      <c r="X11" s="75">
        <v>143</v>
      </c>
      <c r="Y11" s="75">
        <v>159</v>
      </c>
      <c r="Z11" s="121">
        <v>141</v>
      </c>
      <c r="AA11" s="121">
        <v>146</v>
      </c>
      <c r="AB11" s="122">
        <v>131</v>
      </c>
      <c r="AC11" s="19">
        <f t="shared" si="0"/>
        <v>-10.273972602739722</v>
      </c>
      <c r="AD11" s="121">
        <f t="shared" si="1"/>
        <v>-8.391608391608397</v>
      </c>
      <c r="AF11" s="121">
        <v>393</v>
      </c>
      <c r="AG11" s="122">
        <v>418</v>
      </c>
      <c r="AH11" s="132">
        <f t="shared" si="2"/>
        <v>6.361323155216292</v>
      </c>
      <c r="AI11" s="15">
        <f t="shared" si="3"/>
        <v>3.546099290780142</v>
      </c>
      <c r="AJ11" s="15">
        <f t="shared" si="4"/>
        <v>20.66115702479339</v>
      </c>
      <c r="AK11" s="121">
        <v>250</v>
      </c>
      <c r="AL11" s="122">
        <f t="shared" si="5"/>
        <v>287</v>
      </c>
      <c r="AM11" s="139">
        <f>IF(AND(AL11=0,AK11=0),0,IF(OR(AND(AL11&gt;0,AK11&lt;=0),AND(AL11&lt;0,AK11&gt;=0)),"nm",IF(AND(AL11&lt;0,AK11&lt;0),IF(-(AL11/AK11-1)*100&lt;-100,"(&gt;100)",-(AL11/AK11-1)*100),IF((AL11/AK11-1)*100&gt;100,"&gt;100",(AL11/AK11-1)*100))))</f>
        <v>14.79999999999999</v>
      </c>
    </row>
    <row r="12" spans="3:39" ht="14.25">
      <c r="C12" s="22"/>
      <c r="D12" s="75"/>
      <c r="H12" s="121"/>
      <c r="Z12" s="121"/>
      <c r="AA12" s="171"/>
      <c r="AB12" s="122"/>
      <c r="AC12" s="131"/>
      <c r="AD12" s="132"/>
      <c r="AF12" s="121"/>
      <c r="AG12" s="122"/>
      <c r="AH12" s="132"/>
      <c r="AL12" s="461"/>
      <c r="AM12" s="139"/>
    </row>
    <row r="13" spans="1:39" s="24" customFormat="1" ht="14.25" customHeight="1">
      <c r="A13" s="88" t="s">
        <v>102</v>
      </c>
      <c r="D13" s="17"/>
      <c r="E13" s="17"/>
      <c r="F13" s="17"/>
      <c r="G13" s="17"/>
      <c r="H13" s="17"/>
      <c r="I13" s="17"/>
      <c r="J13" s="17"/>
      <c r="K13" s="17"/>
      <c r="L13" s="17"/>
      <c r="M13" s="17"/>
      <c r="N13" s="17"/>
      <c r="O13" s="17"/>
      <c r="P13" s="17"/>
      <c r="Q13" s="17"/>
      <c r="R13" s="17"/>
      <c r="S13" s="17"/>
      <c r="T13" s="17"/>
      <c r="U13" s="17"/>
      <c r="V13" s="17"/>
      <c r="W13" s="17"/>
      <c r="X13" s="17"/>
      <c r="Y13" s="17"/>
      <c r="Z13" s="121"/>
      <c r="AA13" s="121"/>
      <c r="AB13" s="122"/>
      <c r="AC13" s="332"/>
      <c r="AD13" s="333"/>
      <c r="AE13" s="334"/>
      <c r="AF13" s="17"/>
      <c r="AG13" s="125"/>
      <c r="AH13" s="133"/>
      <c r="AK13" s="470"/>
      <c r="AL13" s="122"/>
      <c r="AM13" s="133"/>
    </row>
    <row r="14" spans="2:39" ht="15">
      <c r="B14" s="22" t="s">
        <v>105</v>
      </c>
      <c r="C14" s="22"/>
      <c r="D14" s="75">
        <v>149</v>
      </c>
      <c r="E14" s="75">
        <v>195</v>
      </c>
      <c r="F14" s="75">
        <v>193</v>
      </c>
      <c r="G14" s="75">
        <v>185</v>
      </c>
      <c r="H14" s="121">
        <v>179</v>
      </c>
      <c r="J14" s="75">
        <v>41</v>
      </c>
      <c r="K14" s="75">
        <v>42</v>
      </c>
      <c r="L14" s="75">
        <v>64</v>
      </c>
      <c r="M14" s="75">
        <v>48</v>
      </c>
      <c r="N14" s="75">
        <v>48</v>
      </c>
      <c r="O14" s="75">
        <v>46</v>
      </c>
      <c r="P14" s="75">
        <v>43</v>
      </c>
      <c r="Q14" s="75">
        <v>56</v>
      </c>
      <c r="R14" s="75">
        <v>46</v>
      </c>
      <c r="S14" s="75">
        <v>44</v>
      </c>
      <c r="T14" s="75">
        <v>45</v>
      </c>
      <c r="U14" s="75">
        <v>50</v>
      </c>
      <c r="V14" s="75">
        <v>40</v>
      </c>
      <c r="W14" s="75">
        <v>43</v>
      </c>
      <c r="X14" s="75">
        <v>43</v>
      </c>
      <c r="Y14" s="75">
        <v>53</v>
      </c>
      <c r="Z14" s="121">
        <v>55</v>
      </c>
      <c r="AA14" s="121">
        <v>53</v>
      </c>
      <c r="AB14" s="122">
        <v>52</v>
      </c>
      <c r="AC14" s="19">
        <f>IF(AND(AB14=0,AB14=0),0,IF(OR(AND(AB14&gt;0,AA14&lt;=0),AND(AB14&lt;0,AA14&gt;=0)),"nm",IF(AND(AB14&lt;0,AA14&lt;0),IF(-(AB14/AA14-1)*100&lt;-100,"(&gt;100)",-(AB14/AA14-1)*100),IF((AB14/AA14-1)*100&gt;100,"&gt;100",(AB14/AA14-1)*100))))</f>
        <v>-1.8867924528301883</v>
      </c>
      <c r="AD14" s="121">
        <f>IF(AND(AB14=0,X14=0),0,IF(OR(AND(AB14&gt;0,X14&lt;=0),AND(AB14&lt;0,X14&gt;=0)),"nm",IF(AND(AB14&lt;0,X14&lt;0),IF(-(AB14/X14-1)*100&lt;-100,"(&gt;100)",-(AB14/X14-1)*100),IF((AB14/X14-1)*100&gt;100,"&gt;100",(AB14/X14-1)*100))))</f>
        <v>20.93023255813953</v>
      </c>
      <c r="AE14" s="121"/>
      <c r="AF14" s="121">
        <v>126</v>
      </c>
      <c r="AG14" s="122">
        <v>160</v>
      </c>
      <c r="AH14" s="132">
        <f>IF(AND(AG14=0,AF14=0),0,IF(OR(AND(AG14&gt;0,AF14&lt;=0),AND(AG14&lt;0,AF14&gt;=0)),"nm",IF(AND(AG14&lt;0,AF14&lt;0),IF(-(AG14/AF14-1)*100&lt;-100,"(&gt;100)",-(AG14/AF14-1)*100),IF((AG14/AF14-1)*100&gt;100,"&gt;100",(AG14/AF14-1)*100))))</f>
        <v>26.984126984126977</v>
      </c>
      <c r="AI14" s="15">
        <f>(AA14-Z14)/Z14*100</f>
        <v>-3.6363636363636362</v>
      </c>
      <c r="AJ14" s="15">
        <f>(AA14-W14)/W14*100</f>
        <v>23.25581395348837</v>
      </c>
      <c r="AK14" s="17">
        <v>83</v>
      </c>
      <c r="AL14" s="122">
        <f>Z14+AA14</f>
        <v>108</v>
      </c>
      <c r="AM14" s="139">
        <f>IF(AND(AL14=0,AK14=0),0,IF(OR(AND(AL14&gt;0,AK14&lt;=0),AND(AL14&lt;0,AK14&gt;=0)),"nm",IF(AND(AL14&lt;0,AK14&lt;0),IF(-(AL14/AK14-1)*100&lt;-100,"(&gt;100)",-(AL14/AK14-1)*100),IF((AL14/AK14-1)*100&gt;100,"&gt;100",(AL14/AK14-1)*100))))</f>
        <v>30.12048192771084</v>
      </c>
    </row>
    <row r="15" spans="2:39" ht="15">
      <c r="B15" s="22" t="s">
        <v>233</v>
      </c>
      <c r="C15" s="22"/>
      <c r="D15" s="75">
        <v>3</v>
      </c>
      <c r="E15" s="75">
        <v>3</v>
      </c>
      <c r="F15" s="75">
        <v>3</v>
      </c>
      <c r="G15" s="75">
        <v>3</v>
      </c>
      <c r="H15" s="121">
        <v>3</v>
      </c>
      <c r="J15" s="75">
        <v>1</v>
      </c>
      <c r="K15" s="75">
        <v>1</v>
      </c>
      <c r="L15" s="75">
        <v>1</v>
      </c>
      <c r="M15" s="75">
        <v>1</v>
      </c>
      <c r="N15" s="75">
        <v>1</v>
      </c>
      <c r="O15" s="75">
        <v>1</v>
      </c>
      <c r="P15" s="75">
        <v>1</v>
      </c>
      <c r="Q15" s="75">
        <v>1</v>
      </c>
      <c r="R15" s="75">
        <v>1</v>
      </c>
      <c r="S15" s="75">
        <v>1</v>
      </c>
      <c r="T15" s="75">
        <v>1</v>
      </c>
      <c r="U15" s="75">
        <v>1</v>
      </c>
      <c r="V15" s="75">
        <v>1</v>
      </c>
      <c r="W15" s="75">
        <v>0</v>
      </c>
      <c r="X15" s="75">
        <v>1</v>
      </c>
      <c r="Y15" s="75">
        <v>1</v>
      </c>
      <c r="Z15" s="121">
        <v>1</v>
      </c>
      <c r="AA15" s="121">
        <v>1</v>
      </c>
      <c r="AB15" s="122">
        <v>2</v>
      </c>
      <c r="AC15" s="19">
        <f>IF(AND(AB15=0,AB15=0),0,IF(OR(AND(AB15&gt;0,AA15&lt;=0),AND(AB15&lt;0,AA15&gt;=0)),"nm",IF(AND(AB15&lt;0,AA15&lt;0),IF(-(AB15/AA15-1)*100&lt;-100,"(&gt;100)",-(AB15/AA15-1)*100),IF((AB15/AA15-1)*100&gt;100,"&gt;100",(AB15/AA15-1)*100))))</f>
        <v>100</v>
      </c>
      <c r="AD15" s="121">
        <f>IF(AND(AB15=0,X15=0),0,IF(OR(AND(AB15&gt;0,X15&lt;=0),AND(AB15&lt;0,X15&gt;=0)),"nm",IF(AND(AB15&lt;0,X15&lt;0),IF(-(AB15/X15-1)*100&lt;-100,"(&gt;100)",-(AB15/X15-1)*100),IF((AB15/X15-1)*100&gt;100,"&gt;100",(AB15/X15-1)*100))))</f>
        <v>100</v>
      </c>
      <c r="AE15" s="121"/>
      <c r="AF15" s="121">
        <v>2</v>
      </c>
      <c r="AG15" s="122">
        <v>4</v>
      </c>
      <c r="AH15" s="132">
        <f>IF(AND(AG15=0,AF15=0),0,IF(OR(AND(AG15&gt;0,AF15&lt;=0),AND(AG15&lt;0,AF15&gt;=0)),"nm",IF(AND(AG15&lt;0,AF15&lt;0),IF(-(AG15/AF15-1)*100&lt;-100,"(&gt;100)",-(AG15/AF15-1)*100),IF((AG15/AF15-1)*100&gt;100,"&gt;100",(AG15/AF15-1)*100))))</f>
        <v>100</v>
      </c>
      <c r="AI15" s="15">
        <f>(AA15-Z15)/Z15*100</f>
        <v>0</v>
      </c>
      <c r="AJ15" s="15" t="e">
        <f>(AA15-W15)/W15*100</f>
        <v>#DIV/0!</v>
      </c>
      <c r="AK15" s="121">
        <v>1</v>
      </c>
      <c r="AL15" s="122">
        <f>Z15+AA15</f>
        <v>2</v>
      </c>
      <c r="AM15" s="139">
        <f>IF(AND(AL15=0,AK15=0),0,IF(OR(AND(AL15&gt;0,AK15&lt;=0),AND(AL15&lt;0,AK15&gt;=0)),"nm",IF(AND(AL15&lt;0,AK15&lt;0),IF(-(AL15/AK15-1)*100&lt;-100,"(&gt;100)",-(AL15/AK15-1)*100),IF((AL15/AK15-1)*100&gt;100,"&gt;100",(AL15/AK15-1)*100))))</f>
        <v>100</v>
      </c>
    </row>
    <row r="16" spans="2:39" ht="15">
      <c r="B16" s="22" t="s">
        <v>234</v>
      </c>
      <c r="C16" s="22"/>
      <c r="D16" s="75">
        <v>5</v>
      </c>
      <c r="E16" s="75">
        <v>5</v>
      </c>
      <c r="F16" s="75">
        <v>6</v>
      </c>
      <c r="G16" s="75">
        <v>6</v>
      </c>
      <c r="H16" s="121">
        <v>6</v>
      </c>
      <c r="J16" s="75">
        <v>2</v>
      </c>
      <c r="K16" s="75">
        <v>2</v>
      </c>
      <c r="L16" s="75">
        <v>1</v>
      </c>
      <c r="M16" s="75">
        <v>1</v>
      </c>
      <c r="N16" s="75">
        <v>2</v>
      </c>
      <c r="O16" s="75">
        <v>2</v>
      </c>
      <c r="P16" s="75">
        <v>2</v>
      </c>
      <c r="Q16" s="75">
        <v>0</v>
      </c>
      <c r="R16" s="75">
        <v>1</v>
      </c>
      <c r="S16" s="75">
        <v>2</v>
      </c>
      <c r="T16" s="75">
        <v>2</v>
      </c>
      <c r="U16" s="75">
        <v>1</v>
      </c>
      <c r="V16" s="75">
        <v>2</v>
      </c>
      <c r="W16" s="75">
        <v>1</v>
      </c>
      <c r="X16" s="75">
        <v>2</v>
      </c>
      <c r="Y16" s="75">
        <v>1</v>
      </c>
      <c r="Z16" s="121">
        <v>2</v>
      </c>
      <c r="AA16" s="121">
        <v>1</v>
      </c>
      <c r="AB16" s="122">
        <v>2</v>
      </c>
      <c r="AC16" s="19">
        <f>IF(AND(AB16=0,AB16=0),0,IF(OR(AND(AB16&gt;0,AA16&lt;=0),AND(AB16&lt;0,AA16&gt;=0)),"nm",IF(AND(AB16&lt;0,AA16&lt;0),IF(-(AB16/AA16-1)*100&lt;-100,"(&gt;100)",-(AB16/AA16-1)*100),IF((AB16/AA16-1)*100&gt;100,"&gt;100",(AB16/AA16-1)*100))))</f>
        <v>100</v>
      </c>
      <c r="AD16" s="121">
        <f>IF(AND(AB16=0,X16=0),0,IF(OR(AND(AB16&gt;0,X16&lt;=0),AND(AB16&lt;0,X16&gt;=0)),"nm",IF(AND(AB16&lt;0,X16&lt;0),IF(-(AB16/X16-1)*100&lt;-100,"(&gt;100)",-(AB16/X16-1)*100),IF((AB16/X16-1)*100&gt;100,"&gt;100",(AB16/X16-1)*100))))</f>
        <v>0</v>
      </c>
      <c r="AE16" s="121"/>
      <c r="AF16" s="121">
        <v>5</v>
      </c>
      <c r="AG16" s="122">
        <v>5</v>
      </c>
      <c r="AH16" s="132">
        <f>IF(AND(AG16=0,AF16=0),0,IF(OR(AND(AG16&gt;0,AF16&lt;=0),AND(AG16&lt;0,AF16&gt;=0)),"nm",IF(AND(AG16&lt;0,AF16&lt;0),IF(-(AG16/AF16-1)*100&lt;-100,"(&gt;100)",-(AG16/AF16-1)*100),IF((AG16/AF16-1)*100&gt;100,"&gt;100",(AG16/AF16-1)*100))))</f>
        <v>0</v>
      </c>
      <c r="AI16" s="15">
        <f>(AA16-Z16)/Z16*100</f>
        <v>-50</v>
      </c>
      <c r="AJ16" s="15">
        <f>(AA16-W16)/W16*100</f>
        <v>0</v>
      </c>
      <c r="AK16" s="17">
        <v>3</v>
      </c>
      <c r="AL16" s="122">
        <f>Z16+AA16</f>
        <v>3</v>
      </c>
      <c r="AM16" s="139">
        <f>IF(AND(AL16=0,AK16=0),0,IF(OR(AND(AL16&gt;0,AK16&lt;=0),AND(AL16&lt;0,AK16&gt;=0)),"nm",IF(AND(AL16&lt;0,AK16&lt;0),IF(-(AL16/AK16-1)*100&lt;-100,"(&gt;100)",-(AL16/AK16-1)*100),IF((AL16/AK16-1)*100&gt;100,"&gt;100",(AL16/AK16-1)*100))))</f>
        <v>0</v>
      </c>
    </row>
    <row r="17" spans="2:39" ht="15">
      <c r="B17" s="36" t="s">
        <v>322</v>
      </c>
      <c r="C17" s="22"/>
      <c r="D17" s="75">
        <v>14312</v>
      </c>
      <c r="E17" s="75">
        <v>14033</v>
      </c>
      <c r="F17" s="75">
        <v>15847</v>
      </c>
      <c r="G17" s="75">
        <v>17652</v>
      </c>
      <c r="H17" s="121">
        <v>18433</v>
      </c>
      <c r="J17" s="75">
        <v>14082</v>
      </c>
      <c r="K17" s="75">
        <v>13928</v>
      </c>
      <c r="L17" s="75">
        <v>13868</v>
      </c>
      <c r="M17" s="75">
        <v>14033</v>
      </c>
      <c r="N17" s="75">
        <v>14267</v>
      </c>
      <c r="O17" s="75">
        <v>14615</v>
      </c>
      <c r="P17" s="75">
        <v>15206</v>
      </c>
      <c r="Q17" s="75">
        <v>15847</v>
      </c>
      <c r="R17" s="75">
        <v>16617</v>
      </c>
      <c r="S17" s="75">
        <v>17274</v>
      </c>
      <c r="T17" s="75">
        <v>17550</v>
      </c>
      <c r="U17" s="75">
        <v>17652</v>
      </c>
      <c r="V17" s="75">
        <v>17644</v>
      </c>
      <c r="W17" s="75">
        <v>17910</v>
      </c>
      <c r="X17" s="75">
        <v>18216</v>
      </c>
      <c r="Y17" s="75">
        <v>18433</v>
      </c>
      <c r="Z17" s="121">
        <v>18523</v>
      </c>
      <c r="AA17" s="121">
        <v>18631</v>
      </c>
      <c r="AB17" s="122">
        <v>18930</v>
      </c>
      <c r="AC17" s="19">
        <f>IF(AND(AB17=0,AB17=0),0,IF(OR(AND(AB17&gt;0,AA17&lt;=0),AND(AB17&lt;0,AA17&gt;=0)),"nm",IF(AND(AB17&lt;0,AA17&lt;0),IF(-(AB17/AA17-1)*100&lt;-100,"(&gt;100)",-(AB17/AA17-1)*100),IF((AB17/AA17-1)*100&gt;100,"&gt;100",(AB17/AA17-1)*100))))</f>
        <v>1.604852128173473</v>
      </c>
      <c r="AD17" s="121">
        <f>IF(AND(AB17=0,X17=0),0,IF(OR(AND(AB17&gt;0,X17&lt;=0),AND(AB17&lt;0,X17&gt;=0)),"nm",IF(AND(AB17&lt;0,X17&lt;0),IF(-(AB17/X17-1)*100&lt;-100,"(&gt;100)",-(AB17/X17-1)*100),IF((AB17/X17-1)*100&gt;100,"&gt;100",(AB17/X17-1)*100))))</f>
        <v>3.9196310935441403</v>
      </c>
      <c r="AE17" s="121"/>
      <c r="AF17" s="121">
        <v>18216</v>
      </c>
      <c r="AG17" s="122">
        <v>18930</v>
      </c>
      <c r="AH17" s="132">
        <f>IF(AND(AG17=0,AF17=0),0,IF(OR(AND(AG17&gt;0,AF17&lt;=0),AND(AG17&lt;0,AF17&gt;=0)),"nm",IF(AND(AG17&lt;0,AF17&lt;0),IF(-(AG17/AF17-1)*100&lt;-100,"(&gt;100)",-(AG17/AF17-1)*100),IF((AG17/AF17-1)*100&gt;100,"&gt;100",(AG17/AF17-1)*100))))</f>
        <v>3.9196310935441403</v>
      </c>
      <c r="AI17" s="15">
        <f>(AA17-Z17)/Z17*100</f>
        <v>0.5830588997462613</v>
      </c>
      <c r="AJ17" s="15">
        <f>(AA17-W17)/W17*100</f>
        <v>4.025683975432719</v>
      </c>
      <c r="AK17" s="121">
        <v>17910</v>
      </c>
      <c r="AL17" s="122">
        <v>18631</v>
      </c>
      <c r="AM17" s="139">
        <f>IF(AND(AL17=0,AK17=0),0,IF(OR(AND(AL17&gt;0,AK17&lt;=0),AND(AL17&lt;0,AK17&gt;=0)),"nm",IF(AND(AL17&lt;0,AK17&lt;0),IF(-(AL17/AK17-1)*100&lt;-100,"(&gt;100)",-(AL17/AK17-1)*100),IF((AL17/AK17-1)*100&gt;100,"&gt;100",(AL17/AK17-1)*100))))</f>
        <v>4.025683975432726</v>
      </c>
    </row>
    <row r="18" spans="8:39" ht="15">
      <c r="H18" s="121"/>
      <c r="Z18" s="121"/>
      <c r="AA18" s="121"/>
      <c r="AB18" s="489"/>
      <c r="AC18" s="140"/>
      <c r="AD18" s="139"/>
      <c r="AE18" s="121"/>
      <c r="AF18" s="121"/>
      <c r="AG18" s="122"/>
      <c r="AH18" s="132"/>
      <c r="AI18" s="15"/>
      <c r="AK18" s="17"/>
      <c r="AM18" s="133"/>
    </row>
    <row r="19" spans="26:39" ht="15">
      <c r="Z19" s="355"/>
      <c r="AA19" s="355"/>
      <c r="AB19" s="489"/>
      <c r="AC19" s="121"/>
      <c r="AD19" s="121"/>
      <c r="AE19" s="121"/>
      <c r="AF19" s="121"/>
      <c r="AG19" s="352"/>
      <c r="AI19" s="15"/>
      <c r="AM19" s="139"/>
    </row>
    <row r="20" spans="26:39" ht="15">
      <c r="Z20" s="355"/>
      <c r="AA20" s="355"/>
      <c r="AB20" s="352"/>
      <c r="AC20" s="121"/>
      <c r="AD20" s="121"/>
      <c r="AE20" s="121"/>
      <c r="AF20" s="121"/>
      <c r="AG20" s="352"/>
      <c r="AI20" s="15"/>
      <c r="AM20" s="139"/>
    </row>
    <row r="21" spans="26:39" ht="15">
      <c r="Z21" s="355"/>
      <c r="AA21" s="355"/>
      <c r="AB21" s="352"/>
      <c r="AC21" s="121"/>
      <c r="AD21" s="121"/>
      <c r="AE21" s="121"/>
      <c r="AF21" s="121"/>
      <c r="AG21" s="352"/>
      <c r="AK21" s="17"/>
      <c r="AL21" s="462"/>
      <c r="AM21" s="133"/>
    </row>
    <row r="22" spans="26:39" ht="14.25">
      <c r="Z22" s="355"/>
      <c r="AA22" s="355"/>
      <c r="AB22" s="352"/>
      <c r="AG22" s="352"/>
      <c r="AL22" s="461"/>
      <c r="AM22" s="139"/>
    </row>
    <row r="23" spans="26:39" ht="14.25">
      <c r="Z23" s="355"/>
      <c r="AA23" s="355"/>
      <c r="AB23" s="352"/>
      <c r="AL23" s="461"/>
      <c r="AM23" s="139"/>
    </row>
    <row r="24" spans="26:39" ht="14.25">
      <c r="Z24" s="355"/>
      <c r="AA24" s="355"/>
      <c r="AB24" s="352"/>
      <c r="AL24" s="461"/>
      <c r="AM24" s="139"/>
    </row>
    <row r="25" spans="26:39" ht="14.25">
      <c r="Z25" s="355"/>
      <c r="AA25" s="355"/>
      <c r="AB25" s="352"/>
      <c r="AL25" s="461"/>
      <c r="AM25" s="139"/>
    </row>
    <row r="26" ht="14.25">
      <c r="AM26" s="139"/>
    </row>
    <row r="27" spans="37:39" ht="14.25">
      <c r="AK27" s="165"/>
      <c r="AL27" s="143"/>
      <c r="AM27" s="139"/>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86" r:id="rId1"/>
  <ignoredErrors>
    <ignoredError sqref="R5" formulaRange="1"/>
    <ignoredError sqref="Z7" formula="1"/>
  </ignoredErrors>
</worksheet>
</file>

<file path=xl/worksheets/sheet7.xml><?xml version="1.0" encoding="utf-8"?>
<worksheet xmlns="http://schemas.openxmlformats.org/spreadsheetml/2006/main" xmlns:r="http://schemas.openxmlformats.org/officeDocument/2006/relationships">
  <sheetPr>
    <tabColor indexed="47"/>
    <pageSetUpPr fitToPage="1"/>
  </sheetPr>
  <dimension ref="A1:AK42"/>
  <sheetViews>
    <sheetView zoomScale="80" zoomScaleNormal="80" zoomScalePageLayoutView="0" workbookViewId="0" topLeftCell="A1">
      <pane xSplit="3" ySplit="2" topLeftCell="O3" activePane="bottomRight" state="frozen"/>
      <selection pane="topLeft" activeCell="A1" sqref="A1"/>
      <selection pane="topRight" activeCell="D1" sqref="D1"/>
      <selection pane="bottomLeft" activeCell="A3" sqref="A3"/>
      <selection pane="bottomRight" activeCell="AN15" sqref="AN15"/>
    </sheetView>
  </sheetViews>
  <sheetFormatPr defaultColWidth="9.140625" defaultRowHeight="12.75" outlineLevelCol="1"/>
  <cols>
    <col min="1" max="1" width="2.8515625" style="22" customWidth="1"/>
    <col min="2" max="2" width="2.421875" style="22" customWidth="1"/>
    <col min="3" max="3" width="28.140625" style="10" customWidth="1"/>
    <col min="4" max="4" width="8.8515625" style="76" hidden="1" customWidth="1" outlineLevel="1"/>
    <col min="5" max="8" width="8.8515625" style="75" hidden="1" customWidth="1" outlineLevel="1"/>
    <col min="9" max="9" width="2.7109375" style="75" hidden="1" customWidth="1" outlineLevel="1"/>
    <col min="10" max="17" width="8.8515625" style="75" hidden="1" customWidth="1" outlineLevel="1"/>
    <col min="18" max="19" width="8.8515625" style="75" hidden="1" customWidth="1" outlineLevel="1" collapsed="1"/>
    <col min="20" max="21" width="8.8515625" style="75" hidden="1" customWidth="1" outlineLevel="1"/>
    <col min="22" max="22" width="8.8515625" style="75" customWidth="1" collapsed="1"/>
    <col min="23" max="27" width="8.8515625" style="75" customWidth="1"/>
    <col min="28" max="28" width="8.8515625" style="119" customWidth="1"/>
    <col min="29" max="29" width="8.57421875" style="75" customWidth="1"/>
    <col min="30" max="30" width="9.00390625" style="75" bestFit="1" customWidth="1"/>
    <col min="31" max="31" width="1.8515625" style="75" customWidth="1"/>
    <col min="32" max="32" width="8.57421875" style="75" customWidth="1"/>
    <col min="33" max="33" width="8.421875" style="119" customWidth="1"/>
    <col min="34" max="34" width="8.57421875" style="75" customWidth="1"/>
    <col min="35" max="35" width="8.57421875" style="121" hidden="1" customWidth="1"/>
    <col min="36" max="36" width="8.421875" style="122" hidden="1" customWidth="1"/>
    <col min="37" max="37" width="8.57421875" style="121" hidden="1" customWidth="1"/>
    <col min="38" max="16384" width="9.140625" style="22" customWidth="1"/>
  </cols>
  <sheetData>
    <row r="1" spans="1:37" s="42" customFormat="1" ht="20.25">
      <c r="A1" s="41" t="s">
        <v>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+'5.Expenses'!AC2</f>
        <v>3Q13
vs 
2Q13</v>
      </c>
      <c r="AD2" s="285" t="str">
        <f>+'5.Expenses'!AD2</f>
        <v>3Q13
vs 
3Q12</v>
      </c>
      <c r="AE2" s="45"/>
      <c r="AF2" s="74" t="s">
        <v>442</v>
      </c>
      <c r="AG2" s="74" t="s">
        <v>443</v>
      </c>
      <c r="AH2" s="285" t="s">
        <v>444</v>
      </c>
      <c r="AI2" s="285" t="str">
        <f>+'5.Expenses'!AK2</f>
        <v>1H12</v>
      </c>
      <c r="AJ2" s="285" t="str">
        <f>+'5.Expenses'!AL2</f>
        <v>1H13</v>
      </c>
      <c r="AK2" s="285" t="str">
        <f>+'5.Expenses'!AM2</f>
        <v>1H13
vs 
1H12</v>
      </c>
    </row>
    <row r="3" spans="1:37" s="24" customFormat="1" ht="10.5" customHeight="1">
      <c r="A3" s="9"/>
      <c r="D3" s="8"/>
      <c r="E3" s="17"/>
      <c r="F3" s="17"/>
      <c r="G3" s="17"/>
      <c r="H3" s="17"/>
      <c r="I3" s="17"/>
      <c r="J3" s="17"/>
      <c r="K3" s="17"/>
      <c r="L3" s="17"/>
      <c r="M3" s="17"/>
      <c r="N3" s="17"/>
      <c r="O3" s="17"/>
      <c r="P3" s="17"/>
      <c r="Q3" s="17"/>
      <c r="R3" s="17"/>
      <c r="S3" s="17"/>
      <c r="T3" s="17"/>
      <c r="U3" s="17"/>
      <c r="V3" s="17"/>
      <c r="W3" s="17"/>
      <c r="X3" s="17"/>
      <c r="Y3" s="17"/>
      <c r="Z3" s="17"/>
      <c r="AA3" s="17"/>
      <c r="AB3" s="125"/>
      <c r="AC3" s="17"/>
      <c r="AD3" s="17"/>
      <c r="AE3" s="32"/>
      <c r="AF3" s="17"/>
      <c r="AG3" s="125"/>
      <c r="AH3" s="17"/>
      <c r="AI3" s="17"/>
      <c r="AJ3" s="125"/>
      <c r="AK3" s="17"/>
    </row>
    <row r="4" spans="1:37" s="24" customFormat="1" ht="15">
      <c r="A4" s="47" t="s">
        <v>103</v>
      </c>
      <c r="D4" s="8"/>
      <c r="E4" s="17"/>
      <c r="F4" s="17"/>
      <c r="G4" s="17"/>
      <c r="H4" s="17"/>
      <c r="I4" s="17"/>
      <c r="J4" s="17"/>
      <c r="K4" s="17"/>
      <c r="L4" s="17"/>
      <c r="M4" s="17"/>
      <c r="N4" s="17"/>
      <c r="O4" s="17"/>
      <c r="P4" s="17"/>
      <c r="Q4" s="17"/>
      <c r="R4" s="17"/>
      <c r="S4" s="17"/>
      <c r="T4" s="17"/>
      <c r="U4" s="17"/>
      <c r="V4" s="17"/>
      <c r="W4" s="17"/>
      <c r="X4" s="17"/>
      <c r="Y4" s="17"/>
      <c r="Z4" s="354"/>
      <c r="AA4" s="354"/>
      <c r="AB4" s="353"/>
      <c r="AC4" s="17"/>
      <c r="AD4" s="17"/>
      <c r="AE4" s="32"/>
      <c r="AF4" s="17"/>
      <c r="AG4" s="141"/>
      <c r="AH4" s="17"/>
      <c r="AI4" s="17"/>
      <c r="AJ4" s="144"/>
      <c r="AK4" s="17"/>
    </row>
    <row r="5" spans="1:37" s="18" customFormat="1" ht="15">
      <c r="A5" s="31" t="s">
        <v>106</v>
      </c>
      <c r="D5" s="17">
        <v>784</v>
      </c>
      <c r="E5" s="17">
        <v>1529</v>
      </c>
      <c r="F5" s="17">
        <v>911</v>
      </c>
      <c r="G5" s="17">
        <v>722</v>
      </c>
      <c r="H5" s="17">
        <f>AG5</f>
        <v>619</v>
      </c>
      <c r="I5" s="17"/>
      <c r="J5" s="17">
        <v>414</v>
      </c>
      <c r="K5" s="17">
        <v>466</v>
      </c>
      <c r="L5" s="17">
        <v>265</v>
      </c>
      <c r="M5" s="17">
        <v>384</v>
      </c>
      <c r="N5" s="17">
        <v>355</v>
      </c>
      <c r="O5" s="17">
        <v>204</v>
      </c>
      <c r="P5" s="17">
        <v>195</v>
      </c>
      <c r="Q5" s="17">
        <v>157</v>
      </c>
      <c r="R5" s="263">
        <v>125</v>
      </c>
      <c r="S5" s="263">
        <v>137</v>
      </c>
      <c r="T5" s="263">
        <v>231</v>
      </c>
      <c r="U5" s="263">
        <v>229</v>
      </c>
      <c r="V5" s="263">
        <v>144</v>
      </c>
      <c r="W5" s="263">
        <v>104</v>
      </c>
      <c r="X5" s="263">
        <v>55</v>
      </c>
      <c r="Y5" s="263">
        <v>114</v>
      </c>
      <c r="Z5" s="17">
        <f>Z6+Z7+Z13</f>
        <v>223</v>
      </c>
      <c r="AA5" s="17">
        <f>AA6+AA7+AA13</f>
        <v>245</v>
      </c>
      <c r="AB5" s="572">
        <f>AB6+AB7+AB13</f>
        <v>151</v>
      </c>
      <c r="AC5" s="573">
        <f aca="true" t="shared" si="0" ref="AC5:AC13">IF(AND(AB5=0,AB5=0),0,IF(OR(AND(AB5&gt;0,AA5&lt;=0),AND(AB5&lt;0,AA5&gt;=0)),"nm",IF(AND(AB5&lt;0,AA5&lt;0),IF(-(AB5/AA5-1)*100&lt;-100,"(&gt;100)",-(AB5/AA5-1)*100),IF((AB5/AA5-1)*100&gt;100,"&gt;100",(AB5/AA5-1)*100))))</f>
        <v>-38.36734693877551</v>
      </c>
      <c r="AD5" s="496" t="str">
        <f aca="true" t="shared" si="1" ref="AD5:AD13">IF(AND(AB5=0,X5=0),0,IF(OR(AND(AB5&gt;0,X5&lt;=0),AND(AB5&lt;0,X5&gt;=0)),"nm",IF(AND(AB5&lt;0,X5&lt;0),IF(-(AB5/X5-1)*100&lt;-100,"(&gt;100)",-(AB5/X5-1)*100),IF((AB5/X5-1)*100&gt;100,"&gt;100",(AB5/X5-1)*100))))</f>
        <v>&gt;100</v>
      </c>
      <c r="AE5" s="574"/>
      <c r="AF5" s="574">
        <v>303</v>
      </c>
      <c r="AG5" s="572">
        <f>AG6+AG7+AG13</f>
        <v>619</v>
      </c>
      <c r="AH5" s="17" t="str">
        <f>IF(AND(AG5=0,AF5=0),0,IF(OR(AND(AG5&gt;0,AF5&lt;=0),AND(AG5&lt;0,AF5&gt;=0)),"nm",IF(AND(AG5&lt;0,AF5&lt;0),IF(-(AG5/AF5-1)*100&lt;-100,"(&gt;100)",-(AG5/AF5-1)*100),IF((AG5/AF5-1)*100&gt;100,"&gt;100",(AG5/AF5-1)*100))))</f>
        <v>&gt;100</v>
      </c>
      <c r="AI5" s="312">
        <v>248</v>
      </c>
      <c r="AJ5" s="125">
        <f>AJ6+AJ7+AJ13</f>
        <v>468</v>
      </c>
      <c r="AK5" s="17">
        <f>IF(AND(AJ5=0,AI5=0),0,IF(OR(AND(AJ5&gt;0,AI5&lt;=0),AND(AJ5&lt;0,AI5&gt;=0)),"nm",IF(AND(AJ5&lt;0,AI5&lt;0),IF(-(AJ5/AI5-1)*100&lt;-100,"(&gt;100)",-(AJ5/AI5-1)*100),IF((AJ5/AI5-1)*100&gt;100,"&gt;100",(AJ5/AI5-1)*100))))</f>
        <v>88.70967741935485</v>
      </c>
    </row>
    <row r="6" spans="2:37" s="18" customFormat="1" ht="15">
      <c r="B6" s="31" t="s">
        <v>185</v>
      </c>
      <c r="D6" s="17">
        <v>234</v>
      </c>
      <c r="E6" s="17">
        <v>154</v>
      </c>
      <c r="F6" s="17">
        <v>232</v>
      </c>
      <c r="G6" s="17">
        <v>478</v>
      </c>
      <c r="H6" s="17">
        <f aca="true" t="shared" si="2" ref="H6:H13">AG6</f>
        <v>280</v>
      </c>
      <c r="I6" s="17"/>
      <c r="J6" s="17">
        <v>182</v>
      </c>
      <c r="K6" s="17">
        <v>183</v>
      </c>
      <c r="L6" s="17">
        <v>14</v>
      </c>
      <c r="M6" s="17">
        <v>-225</v>
      </c>
      <c r="N6" s="17">
        <v>25</v>
      </c>
      <c r="O6" s="17">
        <v>124</v>
      </c>
      <c r="P6" s="17">
        <v>39</v>
      </c>
      <c r="Q6" s="17">
        <v>44</v>
      </c>
      <c r="R6" s="263">
        <v>61</v>
      </c>
      <c r="S6" s="263">
        <v>99</v>
      </c>
      <c r="T6" s="263">
        <v>187</v>
      </c>
      <c r="U6" s="263">
        <v>131</v>
      </c>
      <c r="V6" s="263">
        <v>85</v>
      </c>
      <c r="W6" s="263">
        <v>64</v>
      </c>
      <c r="X6" s="263">
        <v>15</v>
      </c>
      <c r="Y6" s="263">
        <v>47</v>
      </c>
      <c r="Z6" s="17">
        <v>110</v>
      </c>
      <c r="AA6" s="17">
        <v>113</v>
      </c>
      <c r="AB6" s="572">
        <v>57</v>
      </c>
      <c r="AC6" s="573">
        <f t="shared" si="0"/>
        <v>-49.557522123893804</v>
      </c>
      <c r="AD6" s="496" t="str">
        <f t="shared" si="1"/>
        <v>&gt;100</v>
      </c>
      <c r="AE6" s="574"/>
      <c r="AF6" s="574">
        <v>164</v>
      </c>
      <c r="AG6" s="572">
        <v>280</v>
      </c>
      <c r="AH6" s="17">
        <f aca="true" t="shared" si="3" ref="AH6:AH12">IF(AND(AG6=0,AF6=0),0,IF(OR(AND(AG6&gt;0,AF6&lt;=0),AND(AG6&lt;0,AF6&gt;=0)),"nm",IF(AND(AG6&lt;0,AF6&lt;0),IF(-(AG6/AF6-1)*100&lt;-100,"(&gt;100)",-(AG6/AF6-1)*100),IF((AG6/AF6-1)*100&gt;100,"&gt;100",(AG6/AF6-1)*100))))</f>
        <v>70.73170731707317</v>
      </c>
      <c r="AI6" s="312">
        <v>149</v>
      </c>
      <c r="AJ6" s="125">
        <v>223</v>
      </c>
      <c r="AK6" s="17">
        <f aca="true" t="shared" si="4" ref="AK6:AK12">IF(AND(AJ6=0,AI6=0),0,IF(OR(AND(AJ6&gt;0,AI6&lt;=0),AND(AJ6&lt;0,AI6&gt;=0)),"nm",IF(AND(AJ6&lt;0,AI6&lt;0),IF(-(AJ6/AI6-1)*100&lt;-100,"(&gt;100)",-(AJ6/AI6-1)*100),IF((AJ6/AI6-1)*100&gt;100,"&gt;100",(AJ6/AI6-1)*100))))</f>
        <v>49.66442953020134</v>
      </c>
    </row>
    <row r="7" spans="2:37" s="18" customFormat="1" ht="15">
      <c r="B7" s="31" t="s">
        <v>186</v>
      </c>
      <c r="C7" s="89"/>
      <c r="D7" s="17">
        <v>419</v>
      </c>
      <c r="E7" s="17">
        <v>1113</v>
      </c>
      <c r="F7" s="17">
        <v>614</v>
      </c>
      <c r="G7" s="17">
        <v>194</v>
      </c>
      <c r="H7" s="17">
        <f t="shared" si="2"/>
        <v>335</v>
      </c>
      <c r="I7" s="17"/>
      <c r="J7" s="17">
        <v>225</v>
      </c>
      <c r="K7" s="17">
        <v>272</v>
      </c>
      <c r="L7" s="17">
        <v>229</v>
      </c>
      <c r="M7" s="17">
        <v>387</v>
      </c>
      <c r="N7" s="17">
        <v>324</v>
      </c>
      <c r="O7" s="17">
        <v>68</v>
      </c>
      <c r="P7" s="17">
        <v>125</v>
      </c>
      <c r="Q7" s="17">
        <v>97</v>
      </c>
      <c r="R7" s="263">
        <v>34</v>
      </c>
      <c r="S7" s="263">
        <v>27</v>
      </c>
      <c r="T7" s="263">
        <v>41</v>
      </c>
      <c r="U7" s="263">
        <v>92</v>
      </c>
      <c r="V7" s="263">
        <v>43</v>
      </c>
      <c r="W7" s="263">
        <v>40</v>
      </c>
      <c r="X7" s="263">
        <v>36</v>
      </c>
      <c r="Y7" s="263">
        <v>79</v>
      </c>
      <c r="Z7" s="17">
        <f>SUM(Z8:Z12)</f>
        <v>114</v>
      </c>
      <c r="AA7" s="17">
        <f>SUM(AA8:AA12)</f>
        <v>128</v>
      </c>
      <c r="AB7" s="572">
        <f>SUM(AB8:AB12)</f>
        <v>93</v>
      </c>
      <c r="AC7" s="573">
        <f t="shared" si="0"/>
        <v>-27.34375</v>
      </c>
      <c r="AD7" s="496" t="str">
        <f t="shared" si="1"/>
        <v>&gt;100</v>
      </c>
      <c r="AE7" s="574"/>
      <c r="AF7" s="574">
        <v>119</v>
      </c>
      <c r="AG7" s="572">
        <f>SUM(AG8:AG12)</f>
        <v>335</v>
      </c>
      <c r="AH7" s="17" t="str">
        <f t="shared" si="3"/>
        <v>&gt;100</v>
      </c>
      <c r="AI7" s="312">
        <v>83</v>
      </c>
      <c r="AJ7" s="125">
        <f>SUM(AJ8:AJ12)</f>
        <v>242</v>
      </c>
      <c r="AK7" s="17" t="str">
        <f t="shared" si="4"/>
        <v>&gt;100</v>
      </c>
    </row>
    <row r="8" spans="2:37" ht="14.25">
      <c r="B8" s="36"/>
      <c r="C8" s="90" t="s">
        <v>48</v>
      </c>
      <c r="D8" s="259" t="s">
        <v>236</v>
      </c>
      <c r="E8" s="75">
        <v>149</v>
      </c>
      <c r="F8" s="75">
        <v>18</v>
      </c>
      <c r="G8" s="75">
        <v>40</v>
      </c>
      <c r="H8" s="121">
        <f t="shared" si="2"/>
        <v>66</v>
      </c>
      <c r="J8" s="75">
        <v>30</v>
      </c>
      <c r="K8" s="75">
        <v>74</v>
      </c>
      <c r="L8" s="75">
        <v>37</v>
      </c>
      <c r="M8" s="75">
        <v>8</v>
      </c>
      <c r="N8" s="75">
        <v>10</v>
      </c>
      <c r="O8" s="75">
        <v>1</v>
      </c>
      <c r="P8" s="75">
        <v>-1</v>
      </c>
      <c r="Q8" s="75">
        <v>8</v>
      </c>
      <c r="R8" s="261">
        <v>2</v>
      </c>
      <c r="S8" s="261">
        <v>-10</v>
      </c>
      <c r="T8" s="261">
        <v>-13</v>
      </c>
      <c r="U8" s="261">
        <v>61</v>
      </c>
      <c r="V8" s="261">
        <v>15</v>
      </c>
      <c r="W8" s="261">
        <v>16</v>
      </c>
      <c r="X8" s="261">
        <v>1</v>
      </c>
      <c r="Y8" s="261">
        <v>7</v>
      </c>
      <c r="Z8" s="121">
        <v>7</v>
      </c>
      <c r="AA8" s="121">
        <v>41</v>
      </c>
      <c r="AB8" s="575">
        <v>18</v>
      </c>
      <c r="AC8" s="573">
        <f t="shared" si="0"/>
        <v>-56.09756097560976</v>
      </c>
      <c r="AD8" s="496" t="str">
        <f t="shared" si="1"/>
        <v>&gt;100</v>
      </c>
      <c r="AE8" s="496"/>
      <c r="AF8" s="496">
        <v>32</v>
      </c>
      <c r="AG8" s="575">
        <v>66</v>
      </c>
      <c r="AH8" s="75" t="str">
        <f t="shared" si="3"/>
        <v>&gt;100</v>
      </c>
      <c r="AI8" s="261">
        <v>31</v>
      </c>
      <c r="AJ8" s="122">
        <v>48</v>
      </c>
      <c r="AK8" s="121">
        <f t="shared" si="4"/>
        <v>54.83870967741935</v>
      </c>
    </row>
    <row r="9" spans="2:37" ht="14.25">
      <c r="B9" s="36"/>
      <c r="C9" s="90" t="s">
        <v>49</v>
      </c>
      <c r="D9" s="259" t="s">
        <v>236</v>
      </c>
      <c r="E9" s="75">
        <v>185</v>
      </c>
      <c r="F9" s="75">
        <v>14</v>
      </c>
      <c r="G9" s="75">
        <v>34</v>
      </c>
      <c r="H9" s="121">
        <f t="shared" si="2"/>
        <v>29</v>
      </c>
      <c r="J9" s="75">
        <v>91</v>
      </c>
      <c r="K9" s="75">
        <v>66</v>
      </c>
      <c r="L9" s="75">
        <v>13</v>
      </c>
      <c r="M9" s="75">
        <v>15</v>
      </c>
      <c r="N9" s="75">
        <v>7</v>
      </c>
      <c r="O9" s="75">
        <v>-4</v>
      </c>
      <c r="P9" s="75">
        <v>8</v>
      </c>
      <c r="Q9" s="75">
        <v>3</v>
      </c>
      <c r="R9" s="261">
        <v>3</v>
      </c>
      <c r="S9" s="261">
        <v>8</v>
      </c>
      <c r="T9" s="261">
        <v>13</v>
      </c>
      <c r="U9" s="261">
        <v>10</v>
      </c>
      <c r="V9" s="261">
        <v>1</v>
      </c>
      <c r="W9" s="261">
        <v>6</v>
      </c>
      <c r="X9" s="261">
        <v>6</v>
      </c>
      <c r="Y9" s="261">
        <v>7</v>
      </c>
      <c r="Z9" s="121">
        <v>8</v>
      </c>
      <c r="AA9" s="121">
        <v>12</v>
      </c>
      <c r="AB9" s="575">
        <v>9</v>
      </c>
      <c r="AC9" s="573">
        <f t="shared" si="0"/>
        <v>-25</v>
      </c>
      <c r="AD9" s="496">
        <f t="shared" si="1"/>
        <v>50</v>
      </c>
      <c r="AE9" s="496"/>
      <c r="AF9" s="496">
        <v>13</v>
      </c>
      <c r="AG9" s="575">
        <v>29</v>
      </c>
      <c r="AH9" s="75" t="str">
        <f t="shared" si="3"/>
        <v>&gt;100</v>
      </c>
      <c r="AI9" s="261">
        <v>7</v>
      </c>
      <c r="AJ9" s="122">
        <v>20</v>
      </c>
      <c r="AK9" s="121" t="str">
        <f t="shared" si="4"/>
        <v>&gt;100</v>
      </c>
    </row>
    <row r="10" spans="2:37" ht="14.25">
      <c r="B10" s="36"/>
      <c r="C10" s="90" t="s">
        <v>73</v>
      </c>
      <c r="D10" s="259" t="s">
        <v>236</v>
      </c>
      <c r="E10" s="75">
        <v>54</v>
      </c>
      <c r="F10" s="75">
        <v>25</v>
      </c>
      <c r="G10" s="75">
        <v>-12</v>
      </c>
      <c r="H10" s="121">
        <f t="shared" si="2"/>
        <v>30</v>
      </c>
      <c r="J10" s="75">
        <v>14</v>
      </c>
      <c r="K10" s="75">
        <v>11</v>
      </c>
      <c r="L10" s="75">
        <v>7</v>
      </c>
      <c r="M10" s="75">
        <v>22</v>
      </c>
      <c r="N10" s="75">
        <v>-3</v>
      </c>
      <c r="O10" s="75">
        <v>13</v>
      </c>
      <c r="P10" s="75">
        <v>17</v>
      </c>
      <c r="Q10" s="75">
        <v>-2</v>
      </c>
      <c r="R10" s="261">
        <v>-8</v>
      </c>
      <c r="S10" s="261">
        <v>-6</v>
      </c>
      <c r="T10" s="261">
        <v>1</v>
      </c>
      <c r="U10" s="261">
        <v>1</v>
      </c>
      <c r="V10" s="261">
        <v>-1</v>
      </c>
      <c r="W10" s="261">
        <v>-2</v>
      </c>
      <c r="X10" s="261">
        <v>1</v>
      </c>
      <c r="Y10" s="261">
        <v>13</v>
      </c>
      <c r="Z10" s="121">
        <v>2</v>
      </c>
      <c r="AA10" s="121">
        <v>9</v>
      </c>
      <c r="AB10" s="575">
        <v>19</v>
      </c>
      <c r="AC10" s="573" t="str">
        <f t="shared" si="0"/>
        <v>&gt;100</v>
      </c>
      <c r="AD10" s="496" t="str">
        <f t="shared" si="1"/>
        <v>&gt;100</v>
      </c>
      <c r="AE10" s="496"/>
      <c r="AF10" s="496">
        <v>-2</v>
      </c>
      <c r="AG10" s="575">
        <v>30</v>
      </c>
      <c r="AH10" s="75" t="str">
        <f t="shared" si="3"/>
        <v>nm</v>
      </c>
      <c r="AI10" s="261">
        <v>-3</v>
      </c>
      <c r="AJ10" s="122">
        <v>11</v>
      </c>
      <c r="AK10" s="121" t="str">
        <f t="shared" si="4"/>
        <v>nm</v>
      </c>
    </row>
    <row r="11" spans="2:37" ht="14.25">
      <c r="B11" s="36"/>
      <c r="C11" s="90" t="s">
        <v>74</v>
      </c>
      <c r="D11" s="75" t="s">
        <v>236</v>
      </c>
      <c r="E11" s="75">
        <v>31</v>
      </c>
      <c r="F11" s="75">
        <v>47</v>
      </c>
      <c r="G11" s="75">
        <v>37</v>
      </c>
      <c r="H11" s="121">
        <f t="shared" si="2"/>
        <v>102</v>
      </c>
      <c r="J11" s="75">
        <v>10</v>
      </c>
      <c r="K11" s="75">
        <v>8</v>
      </c>
      <c r="L11" s="75">
        <v>1</v>
      </c>
      <c r="M11" s="75">
        <v>12</v>
      </c>
      <c r="N11" s="75">
        <v>6</v>
      </c>
      <c r="O11" s="75">
        <v>6</v>
      </c>
      <c r="P11" s="75">
        <v>15</v>
      </c>
      <c r="Q11" s="75">
        <v>20</v>
      </c>
      <c r="R11" s="261">
        <v>2</v>
      </c>
      <c r="S11" s="261">
        <v>4</v>
      </c>
      <c r="T11" s="261">
        <v>12</v>
      </c>
      <c r="U11" s="261">
        <v>19</v>
      </c>
      <c r="V11" s="261">
        <v>6</v>
      </c>
      <c r="W11" s="261">
        <v>12</v>
      </c>
      <c r="X11" s="261">
        <v>9</v>
      </c>
      <c r="Y11" s="261">
        <v>17</v>
      </c>
      <c r="Z11" s="121">
        <v>33</v>
      </c>
      <c r="AA11" s="121">
        <v>35</v>
      </c>
      <c r="AB11" s="575">
        <v>34</v>
      </c>
      <c r="AC11" s="573">
        <f t="shared" si="0"/>
        <v>-2.857142857142858</v>
      </c>
      <c r="AD11" s="496" t="str">
        <f t="shared" si="1"/>
        <v>&gt;100</v>
      </c>
      <c r="AE11" s="496"/>
      <c r="AF11" s="496">
        <v>27</v>
      </c>
      <c r="AG11" s="575">
        <v>102</v>
      </c>
      <c r="AH11" s="75" t="str">
        <f t="shared" si="3"/>
        <v>&gt;100</v>
      </c>
      <c r="AI11" s="261">
        <v>18</v>
      </c>
      <c r="AJ11" s="122">
        <v>68</v>
      </c>
      <c r="AK11" s="121" t="str">
        <f t="shared" si="4"/>
        <v>&gt;100</v>
      </c>
    </row>
    <row r="12" spans="2:37" ht="14.25">
      <c r="B12" s="36"/>
      <c r="C12" s="90" t="s">
        <v>77</v>
      </c>
      <c r="D12" s="259" t="s">
        <v>236</v>
      </c>
      <c r="E12" s="75">
        <v>694</v>
      </c>
      <c r="F12" s="75">
        <v>510</v>
      </c>
      <c r="G12" s="75">
        <v>95</v>
      </c>
      <c r="H12" s="121">
        <f t="shared" si="2"/>
        <v>108</v>
      </c>
      <c r="J12" s="75">
        <v>80</v>
      </c>
      <c r="K12" s="75">
        <v>113</v>
      </c>
      <c r="L12" s="75">
        <v>171</v>
      </c>
      <c r="M12" s="75">
        <v>330</v>
      </c>
      <c r="N12" s="75">
        <v>304</v>
      </c>
      <c r="O12" s="75">
        <v>52</v>
      </c>
      <c r="P12" s="75">
        <v>86</v>
      </c>
      <c r="Q12" s="75">
        <v>68</v>
      </c>
      <c r="R12" s="261">
        <v>35</v>
      </c>
      <c r="S12" s="261">
        <v>31</v>
      </c>
      <c r="T12" s="261">
        <v>28</v>
      </c>
      <c r="U12" s="261">
        <v>1</v>
      </c>
      <c r="V12" s="261">
        <v>22</v>
      </c>
      <c r="W12" s="261">
        <v>8</v>
      </c>
      <c r="X12" s="261">
        <v>19</v>
      </c>
      <c r="Y12" s="261">
        <v>35</v>
      </c>
      <c r="Z12" s="121">
        <v>64</v>
      </c>
      <c r="AA12" s="121">
        <v>31</v>
      </c>
      <c r="AB12" s="575">
        <v>13</v>
      </c>
      <c r="AC12" s="573">
        <f t="shared" si="0"/>
        <v>-58.06451612903225</v>
      </c>
      <c r="AD12" s="496">
        <f t="shared" si="1"/>
        <v>-31.57894736842105</v>
      </c>
      <c r="AE12" s="496"/>
      <c r="AF12" s="496">
        <v>49</v>
      </c>
      <c r="AG12" s="575">
        <v>108</v>
      </c>
      <c r="AH12" s="75" t="str">
        <f t="shared" si="3"/>
        <v>&gt;100</v>
      </c>
      <c r="AI12" s="261">
        <v>30</v>
      </c>
      <c r="AJ12" s="122">
        <v>95</v>
      </c>
      <c r="AK12" s="121" t="str">
        <f t="shared" si="4"/>
        <v>&gt;100</v>
      </c>
    </row>
    <row r="13" spans="1:37" s="24" customFormat="1" ht="14.25" customHeight="1">
      <c r="A13" s="18"/>
      <c r="B13" s="105" t="s">
        <v>187</v>
      </c>
      <c r="C13" s="105"/>
      <c r="D13" s="17">
        <v>131</v>
      </c>
      <c r="E13" s="17">
        <v>262</v>
      </c>
      <c r="F13" s="17">
        <v>65</v>
      </c>
      <c r="G13" s="17">
        <v>50</v>
      </c>
      <c r="H13" s="17">
        <f t="shared" si="2"/>
        <v>4</v>
      </c>
      <c r="I13" s="17"/>
      <c r="J13" s="17">
        <v>7</v>
      </c>
      <c r="K13" s="17">
        <v>11</v>
      </c>
      <c r="L13" s="17">
        <v>22</v>
      </c>
      <c r="M13" s="17">
        <v>222</v>
      </c>
      <c r="N13" s="17">
        <v>6</v>
      </c>
      <c r="O13" s="17">
        <v>12</v>
      </c>
      <c r="P13" s="17">
        <v>31</v>
      </c>
      <c r="Q13" s="17">
        <v>16</v>
      </c>
      <c r="R13" s="263">
        <v>30</v>
      </c>
      <c r="S13" s="263">
        <v>11</v>
      </c>
      <c r="T13" s="263">
        <v>3</v>
      </c>
      <c r="U13" s="263">
        <v>6</v>
      </c>
      <c r="V13" s="263">
        <v>16</v>
      </c>
      <c r="W13" s="263">
        <v>0</v>
      </c>
      <c r="X13" s="263">
        <v>4</v>
      </c>
      <c r="Y13" s="263">
        <v>-12</v>
      </c>
      <c r="Z13" s="17">
        <v>-1</v>
      </c>
      <c r="AA13" s="17">
        <v>4</v>
      </c>
      <c r="AB13" s="572">
        <v>1</v>
      </c>
      <c r="AC13" s="573">
        <f t="shared" si="0"/>
        <v>-75</v>
      </c>
      <c r="AD13" s="496">
        <f t="shared" si="1"/>
        <v>-75</v>
      </c>
      <c r="AE13" s="576"/>
      <c r="AF13" s="574">
        <v>20</v>
      </c>
      <c r="AG13" s="572">
        <v>4</v>
      </c>
      <c r="AH13" s="104">
        <f>IF(AND(AG13=0,AF13=0),0,IF(OR(AND(AG13&gt;0,AF13&lt;=0),AND(AG13&lt;0,AF13&gt;=0)),"nm",IF(AND(AG13&lt;0,AF13&lt;0),IF(-(AG13/AF13-1)*100&lt;-100,"(&gt;100)",-(AG13/AF13-1)*100),IF((AG13/AF13-1)*100&gt;100,"&gt;100",(AG13/AF13-1)*100))))</f>
        <v>-80</v>
      </c>
      <c r="AI13" s="312">
        <v>16</v>
      </c>
      <c r="AJ13" s="125">
        <v>3</v>
      </c>
      <c r="AK13" s="104">
        <f>IF(AND(AJ13=0,AI13=0),0,IF(OR(AND(AJ13&gt;0,AI13&lt;=0),AND(AJ13&lt;0,AI13&gt;=0)),"nm",IF(AND(AJ13&lt;0,AI13&lt;0),IF(-(AJ13/AI13-1)*100&lt;-100,"(&gt;100)",-(AJ13/AI13-1)*100),IF((AJ13/AI13-1)*100&gt;100,"&gt;100",(AJ13/AI13-1)*100))))</f>
        <v>-81.25</v>
      </c>
    </row>
    <row r="14" spans="3:36" ht="14.25">
      <c r="C14" s="22"/>
      <c r="D14" s="75"/>
      <c r="H14" s="121"/>
      <c r="R14" s="261"/>
      <c r="S14" s="261"/>
      <c r="T14" s="261"/>
      <c r="U14" s="261"/>
      <c r="V14" s="261"/>
      <c r="W14" s="261"/>
      <c r="X14" s="261"/>
      <c r="Y14" s="261"/>
      <c r="Z14" s="436"/>
      <c r="AA14" s="121"/>
      <c r="AB14" s="489"/>
      <c r="AC14" s="261"/>
      <c r="AD14" s="261"/>
      <c r="AE14" s="261"/>
      <c r="AF14" s="261"/>
      <c r="AG14" s="489"/>
      <c r="AI14" s="261"/>
      <c r="AJ14" s="461"/>
    </row>
    <row r="15" spans="1:36" ht="15">
      <c r="A15" s="88" t="s">
        <v>190</v>
      </c>
      <c r="B15" s="24"/>
      <c r="C15" s="24"/>
      <c r="D15" s="75"/>
      <c r="H15" s="121"/>
      <c r="R15" s="261"/>
      <c r="S15" s="261"/>
      <c r="T15" s="261"/>
      <c r="U15" s="261"/>
      <c r="V15" s="261"/>
      <c r="W15" s="261"/>
      <c r="X15" s="261"/>
      <c r="Y15" s="261"/>
      <c r="Z15" s="436"/>
      <c r="AA15" s="121"/>
      <c r="AB15" s="489"/>
      <c r="AG15" s="489"/>
      <c r="AJ15" s="461"/>
    </row>
    <row r="16" spans="2:36" ht="14.25">
      <c r="B16" s="58" t="s">
        <v>141</v>
      </c>
      <c r="C16" s="90"/>
      <c r="D16" s="75"/>
      <c r="H16" s="121"/>
      <c r="R16" s="261"/>
      <c r="S16" s="261"/>
      <c r="T16" s="261"/>
      <c r="U16" s="261"/>
      <c r="V16" s="261"/>
      <c r="W16" s="261"/>
      <c r="X16" s="261"/>
      <c r="Y16" s="261"/>
      <c r="Z16" s="436"/>
      <c r="AA16" s="121"/>
      <c r="AB16" s="489"/>
      <c r="AG16" s="489"/>
      <c r="AJ16" s="461"/>
    </row>
    <row r="17" spans="3:37" ht="14.25">
      <c r="C17" s="90" t="s">
        <v>188</v>
      </c>
      <c r="D17" s="75">
        <v>344</v>
      </c>
      <c r="E17" s="75">
        <v>516</v>
      </c>
      <c r="F17" s="75">
        <v>233</v>
      </c>
      <c r="G17" s="75">
        <v>186</v>
      </c>
      <c r="H17" s="121">
        <f>AG17</f>
        <v>324</v>
      </c>
      <c r="J17" s="75">
        <v>160</v>
      </c>
      <c r="K17" s="75">
        <v>176</v>
      </c>
      <c r="L17" s="75">
        <v>55</v>
      </c>
      <c r="M17" s="75">
        <v>125</v>
      </c>
      <c r="N17" s="75">
        <v>73</v>
      </c>
      <c r="O17" s="75">
        <v>29</v>
      </c>
      <c r="P17" s="75">
        <v>103</v>
      </c>
      <c r="Q17" s="75">
        <v>28</v>
      </c>
      <c r="R17" s="261">
        <v>20</v>
      </c>
      <c r="S17" s="261">
        <v>44</v>
      </c>
      <c r="T17" s="261">
        <v>39</v>
      </c>
      <c r="U17" s="261">
        <v>83</v>
      </c>
      <c r="V17" s="261">
        <v>31</v>
      </c>
      <c r="W17" s="261">
        <v>36</v>
      </c>
      <c r="X17" s="261">
        <v>25</v>
      </c>
      <c r="Y17" s="261">
        <v>43</v>
      </c>
      <c r="Z17" s="121">
        <v>117</v>
      </c>
      <c r="AA17" s="121">
        <v>91</v>
      </c>
      <c r="AB17" s="575">
        <v>63</v>
      </c>
      <c r="AC17" s="19">
        <f>IF(AND(AB17=0,AB17=0),0,IF(OR(AND(AB17&gt;0,AA17&lt;=0),AND(AB17&lt;0,AA17&gt;=0)),"nm",IF(AND(AB17&lt;0,AA17&lt;0),IF(-(AB17/AA17-1)*100&lt;-100,"(&gt;100)",-(AB17/AA17-1)*100),IF((AB17/AA17-1)*100&gt;100,"&gt;100",(AB17/AA17-1)*100))))</f>
        <v>-30.76923076923077</v>
      </c>
      <c r="AD17" s="121" t="str">
        <f>IF(AND(AB17=0,X17=0),0,IF(OR(AND(AB17&gt;0,X17&lt;=0),AND(AB17&lt;0,X17&gt;=0)),"nm",IF(AND(AB17&lt;0,X17&lt;0),IF(-(AB17/X17-1)*100&lt;-100,"(&gt;100)",-(AB17/X17-1)*100),IF((AB17/X17-1)*100&gt;100,"&gt;100",(AB17/X17-1)*100))))</f>
        <v>&gt;100</v>
      </c>
      <c r="AE17" s="261"/>
      <c r="AF17" s="261">
        <v>113</v>
      </c>
      <c r="AG17" s="575">
        <v>324</v>
      </c>
      <c r="AH17" s="75" t="str">
        <f>IF(AND(AG17=0,AF17=0),0,IF(OR(AND(AG17&gt;0,AF17&lt;=0),AND(AG17&lt;0,AF17&gt;=0)),"nm",IF(AND(AG17&lt;0,AF17&lt;0),IF(-(AG17/AF17-1)*100&lt;-100,"(&gt;100)",-(AG17/AF17-1)*100),IF((AG17/AF17-1)*100&gt;100,"&gt;100",(AG17/AF17-1)*100))))</f>
        <v>&gt;100</v>
      </c>
      <c r="AI17" s="261">
        <v>68</v>
      </c>
      <c r="AJ17" s="122">
        <v>232</v>
      </c>
      <c r="AK17" s="121" t="str">
        <f>IF(AND(AJ17=0,AI17=0),0,IF(OR(AND(AJ17&gt;0,AI17&lt;=0),AND(AJ17&lt;0,AI17&gt;=0)),"nm",IF(AND(AJ17&lt;0,AI17&lt;0),IF(-(AJ17/AI17-1)*100&lt;-100,"(&gt;100)",-(AJ17/AI17-1)*100),IF((AJ17/AI17-1)*100&gt;100,"&gt;100",(AJ17/AI17-1)*100))))</f>
        <v>&gt;100</v>
      </c>
    </row>
    <row r="18" spans="3:37" ht="14.25">
      <c r="C18" s="22" t="s">
        <v>189</v>
      </c>
      <c r="D18" s="75">
        <v>265</v>
      </c>
      <c r="E18" s="75">
        <v>874</v>
      </c>
      <c r="F18" s="75">
        <v>632</v>
      </c>
      <c r="G18" s="75">
        <v>243</v>
      </c>
      <c r="H18" s="121">
        <f>AG18</f>
        <v>130</v>
      </c>
      <c r="J18" s="75">
        <v>111</v>
      </c>
      <c r="K18" s="75">
        <v>153</v>
      </c>
      <c r="L18" s="75">
        <v>265</v>
      </c>
      <c r="M18" s="75">
        <v>345</v>
      </c>
      <c r="N18" s="75">
        <v>311</v>
      </c>
      <c r="O18" s="75">
        <v>104</v>
      </c>
      <c r="P18" s="75">
        <v>89</v>
      </c>
      <c r="Q18" s="75">
        <v>128</v>
      </c>
      <c r="R18" s="261">
        <v>70</v>
      </c>
      <c r="S18" s="261">
        <v>56</v>
      </c>
      <c r="T18" s="261">
        <v>78</v>
      </c>
      <c r="U18" s="261">
        <v>39</v>
      </c>
      <c r="V18" s="261">
        <v>64</v>
      </c>
      <c r="W18" s="261">
        <v>31</v>
      </c>
      <c r="X18" s="261">
        <v>55</v>
      </c>
      <c r="Y18" s="261">
        <v>73</v>
      </c>
      <c r="Z18" s="121">
        <v>73</v>
      </c>
      <c r="AA18" s="121">
        <v>82</v>
      </c>
      <c r="AB18" s="575">
        <v>56</v>
      </c>
      <c r="AC18" s="19">
        <f>IF(AND(AB18=0,AB18=0),0,IF(OR(AND(AB18&gt;0,AA18&lt;=0),AND(AB18&lt;0,AA18&gt;=0)),"nm",IF(AND(AB18&lt;0,AA18&lt;0),IF(-(AB18/AA18-1)*100&lt;-100,"(&gt;100)",-(AB18/AA18-1)*100),IF((AB18/AA18-1)*100&gt;100,"&gt;100",(AB18/AA18-1)*100))))</f>
        <v>-31.707317073170728</v>
      </c>
      <c r="AD18" s="121">
        <f>IF(AND(AB18=0,X18=0),0,IF(OR(AND(AB18&gt;0,X18&lt;=0),AND(AB18&lt;0,X18&gt;=0)),"nm",IF(AND(AB18&lt;0,X18&lt;0),IF(-(AB18/X18-1)*100&lt;-100,"(&gt;100)",-(AB18/X18-1)*100),IF((AB18/X18-1)*100&gt;100,"&gt;100",(AB18/X18-1)*100))))</f>
        <v>1.8181818181818077</v>
      </c>
      <c r="AE18" s="261"/>
      <c r="AF18" s="261">
        <v>121</v>
      </c>
      <c r="AG18" s="575">
        <v>130</v>
      </c>
      <c r="AH18" s="75">
        <f>IF(AND(AG18=0,AF18=0),0,IF(OR(AND(AG18&gt;0,AF18&lt;=0),AND(AG18&lt;0,AF18&gt;=0)),"nm",IF(AND(AG18&lt;0,AF18&lt;0),IF(-(AG18/AF18-1)*100&lt;-100,"(&gt;100)",-(AG18/AF18-1)*100),IF((AG18/AF18-1)*100&gt;100,"&gt;100",(AG18/AF18-1)*100))))</f>
        <v>7.438016528925617</v>
      </c>
      <c r="AI18" s="261">
        <v>87</v>
      </c>
      <c r="AJ18" s="122">
        <v>127</v>
      </c>
      <c r="AK18" s="121">
        <f>IF(AND(AJ18=0,AI18=0),0,IF(OR(AND(AJ18&gt;0,AI18&lt;=0),AND(AJ18&lt;0,AI18&gt;=0)),"nm",IF(AND(AJ18&lt;0,AI18&lt;0),IF(-(AJ18/AI18-1)*100&lt;-100,"(&gt;100)",-(AJ18/AI18-1)*100),IF((AJ18/AI18-1)*100&gt;100,"&gt;100",(AJ18/AI18-1)*100))))</f>
        <v>45.977011494252885</v>
      </c>
    </row>
    <row r="19" spans="2:35" ht="14.25">
      <c r="B19" s="58" t="s">
        <v>140</v>
      </c>
      <c r="C19" s="22"/>
      <c r="D19" s="75"/>
      <c r="H19" s="121"/>
      <c r="R19" s="261"/>
      <c r="S19" s="261"/>
      <c r="T19" s="261"/>
      <c r="U19" s="261"/>
      <c r="V19" s="261"/>
      <c r="W19" s="261"/>
      <c r="X19" s="261"/>
      <c r="Y19" s="261"/>
      <c r="Z19" s="121"/>
      <c r="AA19" s="121"/>
      <c r="AB19" s="575"/>
      <c r="AC19" s="261"/>
      <c r="AD19" s="261"/>
      <c r="AE19" s="261"/>
      <c r="AF19" s="261"/>
      <c r="AG19" s="575"/>
      <c r="AI19" s="261"/>
    </row>
    <row r="20" spans="3:37" ht="14.25">
      <c r="C20" s="22" t="s">
        <v>64</v>
      </c>
      <c r="D20" s="75">
        <v>3</v>
      </c>
      <c r="E20" s="75">
        <v>5</v>
      </c>
      <c r="F20" s="75">
        <v>0</v>
      </c>
      <c r="G20" s="75">
        <v>48</v>
      </c>
      <c r="H20" s="121">
        <f>AG20</f>
        <v>0</v>
      </c>
      <c r="J20" s="258">
        <v>0</v>
      </c>
      <c r="K20" s="258">
        <v>0</v>
      </c>
      <c r="L20" s="259">
        <v>5</v>
      </c>
      <c r="M20" s="258">
        <v>0</v>
      </c>
      <c r="N20" s="258">
        <v>0</v>
      </c>
      <c r="O20" s="258">
        <v>0</v>
      </c>
      <c r="P20" s="258">
        <v>0</v>
      </c>
      <c r="Q20" s="258">
        <v>0</v>
      </c>
      <c r="R20" s="261">
        <v>0</v>
      </c>
      <c r="S20" s="261">
        <v>4</v>
      </c>
      <c r="T20" s="261">
        <v>44</v>
      </c>
      <c r="U20" s="261">
        <v>0</v>
      </c>
      <c r="V20" s="261">
        <v>0</v>
      </c>
      <c r="W20" s="261">
        <v>0</v>
      </c>
      <c r="X20" s="261">
        <v>0</v>
      </c>
      <c r="Y20" s="261">
        <v>0</v>
      </c>
      <c r="Z20" s="121">
        <v>0</v>
      </c>
      <c r="AA20" s="121">
        <v>0</v>
      </c>
      <c r="AB20" s="575">
        <v>0</v>
      </c>
      <c r="AC20" s="19">
        <f>IF(AND(AB20=0,AB20=0),0,IF(OR(AND(AB20&gt;0,AA20&lt;=0),AND(AB20&lt;0,AA20&gt;=0)),"nm",IF(AND(AB20&lt;0,AA20&lt;0),IF(-(AB20/AA20-1)*100&lt;-100,"(&gt;100)",-(AB20/AA20-1)*100),IF((AB20/AA20-1)*100&gt;100,"&gt;100",(AB20/AA20-1)*100))))</f>
        <v>0</v>
      </c>
      <c r="AD20" s="121">
        <f>IF(AND(AB20=0,X20=0),0,IF(OR(AND(AB20&gt;0,X20&lt;=0),AND(AB20&lt;0,X20&gt;=0)),"nm",IF(AND(AB20&lt;0,X20&lt;0),IF(-(AB20/X20-1)*100&lt;-100,"(&gt;100)",-(AB20/X20-1)*100),IF((AB20/X20-1)*100&gt;100,"&gt;100",(AB20/X20-1)*100))))</f>
        <v>0</v>
      </c>
      <c r="AE20" s="262"/>
      <c r="AF20" s="262">
        <v>1</v>
      </c>
      <c r="AG20" s="577">
        <v>0</v>
      </c>
      <c r="AH20" s="264">
        <f>IF(AND(AG20=0,AF20=0),0,IF(OR(AND(AG20&gt;0,AF20&lt;=0),AND(AG20&lt;0,AF20&gt;=0)),"nm",IF(AND(AG20&lt;0,AF20&lt;0),IF(-(AG20/AF20-1)*100&lt;-100,"(&gt;100)",-(AG20/AF20-1)*100),IF((AG20/AF20-1)*100&gt;100,"&gt;100",(AG20/AF20-1)*100))))</f>
        <v>-100</v>
      </c>
      <c r="AI20" s="262">
        <v>0</v>
      </c>
      <c r="AJ20" s="402">
        <v>0</v>
      </c>
      <c r="AK20" s="471">
        <f>IF(AND(AJ20=0,AI20=0),0,IF(OR(AND(AJ20&gt;0,AI20&lt;=0),AND(AJ20&lt;0,AI20&gt;=0)),"nm",IF(AND(AJ20&lt;0,AI20&lt;0),IF(-(AJ20/AI20-1)*100&lt;-100,"(&gt;100)",-(AJ20/AI20-1)*100),IF((AJ20/AI20-1)*100&gt;100,"&gt;100",(AJ20/AI20-1)*100))))</f>
        <v>0</v>
      </c>
    </row>
    <row r="21" spans="3:37" ht="14.25">
      <c r="C21" s="22" t="s">
        <v>65</v>
      </c>
      <c r="D21" s="75">
        <v>152</v>
      </c>
      <c r="E21" s="75">
        <v>236</v>
      </c>
      <c r="F21" s="75">
        <v>221</v>
      </c>
      <c r="G21" s="75">
        <v>121</v>
      </c>
      <c r="H21" s="121">
        <f>AG21</f>
        <v>76</v>
      </c>
      <c r="J21" s="75">
        <v>37</v>
      </c>
      <c r="K21" s="75">
        <v>50</v>
      </c>
      <c r="L21" s="75">
        <v>72</v>
      </c>
      <c r="M21" s="75">
        <v>77</v>
      </c>
      <c r="N21" s="75">
        <v>53</v>
      </c>
      <c r="O21" s="75">
        <v>54</v>
      </c>
      <c r="P21" s="75">
        <v>61</v>
      </c>
      <c r="Q21" s="75">
        <v>53</v>
      </c>
      <c r="R21" s="261">
        <v>43</v>
      </c>
      <c r="S21" s="261">
        <v>38</v>
      </c>
      <c r="T21" s="261">
        <v>20</v>
      </c>
      <c r="U21" s="261">
        <v>20</v>
      </c>
      <c r="V21" s="261">
        <v>45</v>
      </c>
      <c r="W21" s="261">
        <v>16</v>
      </c>
      <c r="X21" s="261">
        <v>28</v>
      </c>
      <c r="Y21" s="261">
        <v>29</v>
      </c>
      <c r="Z21" s="121">
        <v>62</v>
      </c>
      <c r="AA21" s="121">
        <v>27</v>
      </c>
      <c r="AB21" s="575">
        <v>15</v>
      </c>
      <c r="AC21" s="19">
        <f>IF(AND(AB21=0,AB21=0),0,IF(OR(AND(AB21&gt;0,AA21&lt;=0),AND(AB21&lt;0,AA21&gt;=0)),"nm",IF(AND(AB21&lt;0,AA21&lt;0),IF(-(AB21/AA21-1)*100&lt;-100,"(&gt;100)",-(AB21/AA21-1)*100),IF((AB21/AA21-1)*100&gt;100,"&gt;100",(AB21/AA21-1)*100))))</f>
        <v>-44.44444444444444</v>
      </c>
      <c r="AD21" s="121">
        <f>IF(AND(AB21=0,X21=0),0,IF(OR(AND(AB21&gt;0,X21&lt;=0),AND(AB21&lt;0,X21&gt;=0)),"nm",IF(AND(AB21&lt;0,X21&lt;0),IF(-(AB21/X21-1)*100&lt;-100,"(&gt;100)",-(AB21/X21-1)*100),IF((AB21/X21-1)*100&gt;100,"&gt;100",(AB21/X21-1)*100))))</f>
        <v>-46.42857142857143</v>
      </c>
      <c r="AE21" s="261"/>
      <c r="AF21" s="261">
        <v>80</v>
      </c>
      <c r="AG21" s="575">
        <v>76</v>
      </c>
      <c r="AH21" s="75">
        <f>IF(AND(AG21=0,AF21=0),0,IF(OR(AND(AG21&gt;0,AF21&lt;=0),AND(AG21&lt;0,AF21&gt;=0)),"nm",IF(AND(AG21&lt;0,AF21&lt;0),IF(-(AG21/AF21-1)*100&lt;-100,"(&gt;100)",-(AG21/AF21-1)*100),IF((AG21/AF21-1)*100&gt;100,"&gt;100",(AG21/AF21-1)*100))))</f>
        <v>-5.000000000000004</v>
      </c>
      <c r="AI21" s="261">
        <v>54</v>
      </c>
      <c r="AJ21" s="122">
        <f>66+28-9</f>
        <v>85</v>
      </c>
      <c r="AK21" s="121">
        <f>IF(AND(AJ21=0,AI21=0),0,IF(OR(AND(AJ21&gt;0,AI21&lt;=0),AND(AJ21&lt;0,AI21&gt;=0)),"nm",IF(AND(AJ21&lt;0,AI21&lt;0),IF(-(AJ21/AI21-1)*100&lt;-100,"(&gt;100)",-(AJ21/AI21-1)*100),IF((AJ21/AI21-1)*100&gt;100,"&gt;100",(AJ21/AI21-1)*100))))</f>
        <v>57.40740740740742</v>
      </c>
    </row>
    <row r="22" spans="3:37" ht="14.25">
      <c r="C22" s="22" t="s">
        <v>66</v>
      </c>
      <c r="D22" s="75">
        <v>35</v>
      </c>
      <c r="E22" s="75">
        <v>36</v>
      </c>
      <c r="F22" s="75">
        <v>30</v>
      </c>
      <c r="G22" s="75">
        <v>66</v>
      </c>
      <c r="H22" s="121">
        <f>AG22</f>
        <v>43</v>
      </c>
      <c r="J22" s="75">
        <v>9</v>
      </c>
      <c r="K22" s="75">
        <v>7</v>
      </c>
      <c r="L22" s="75">
        <v>14</v>
      </c>
      <c r="M22" s="75">
        <v>6</v>
      </c>
      <c r="N22" s="75">
        <v>7</v>
      </c>
      <c r="O22" s="75">
        <v>11</v>
      </c>
      <c r="P22" s="75">
        <v>6</v>
      </c>
      <c r="Q22" s="75">
        <v>6</v>
      </c>
      <c r="R22" s="261">
        <v>13</v>
      </c>
      <c r="S22" s="261">
        <v>31</v>
      </c>
      <c r="T22" s="261">
        <v>12</v>
      </c>
      <c r="U22" s="261">
        <v>10</v>
      </c>
      <c r="V22" s="261">
        <v>7</v>
      </c>
      <c r="W22" s="261">
        <v>11</v>
      </c>
      <c r="X22" s="261">
        <v>16</v>
      </c>
      <c r="Y22" s="261">
        <v>8</v>
      </c>
      <c r="Z22" s="121">
        <v>14</v>
      </c>
      <c r="AA22" s="121">
        <v>18</v>
      </c>
      <c r="AB22" s="575">
        <v>11</v>
      </c>
      <c r="AC22" s="19">
        <f>IF(AND(AB22=0,AB22=0),0,IF(OR(AND(AB22&gt;0,AA22&lt;=0),AND(AB22&lt;0,AA22&gt;=0)),"nm",IF(AND(AB22&lt;0,AA22&lt;0),IF(-(AB22/AA22-1)*100&lt;-100,"(&gt;100)",-(AB22/AA22-1)*100),IF((AB22/AA22-1)*100&gt;100,"&gt;100",(AB22/AA22-1)*100))))</f>
        <v>-38.888888888888886</v>
      </c>
      <c r="AD22" s="121">
        <f>IF(AND(AB22=0,X22=0),0,IF(OR(AND(AB22&gt;0,X22&lt;=0),AND(AB22&lt;0,X22&gt;=0)),"nm",IF(AND(AB22&lt;0,X22&lt;0),IF(-(AB22/X22-1)*100&lt;-100,"(&gt;100)",-(AB22/X22-1)*100),IF((AB22/X22-1)*100&gt;100,"&gt;100",(AB22/X22-1)*100))))</f>
        <v>-31.25</v>
      </c>
      <c r="AE22" s="261"/>
      <c r="AF22" s="261">
        <v>34</v>
      </c>
      <c r="AG22" s="575">
        <v>43</v>
      </c>
      <c r="AH22" s="75">
        <f>IF(AND(AG22=0,AF22=0),0,IF(OR(AND(AG22&gt;0,AF22&lt;=0),AND(AG22&lt;0,AF22&gt;=0)),"nm",IF(AND(AG22&lt;0,AF22&lt;0),IF(-(AG22/AF22-1)*100&lt;-100,"(&gt;100)",-(AG22/AF22-1)*100),IF((AG22/AF22-1)*100&gt;100,"&gt;100",(AG22/AF22-1)*100))))</f>
        <v>26.470588235294112</v>
      </c>
      <c r="AI22" s="261">
        <v>18</v>
      </c>
      <c r="AJ22" s="122">
        <v>32</v>
      </c>
      <c r="AK22" s="121">
        <f>IF(AND(AJ22=0,AI22=0),0,IF(OR(AND(AJ22&gt;0,AI22&lt;=0),AND(AJ22&lt;0,AI22&gt;=0)),"nm",IF(AND(AJ22&lt;0,AI22&lt;0),IF(-(AJ22/AI22-1)*100&lt;-100,"(&gt;100)",-(AJ22/AI22-1)*100),IF((AJ22/AI22-1)*100&gt;100,"&gt;100",(AJ22/AI22-1)*100))))</f>
        <v>77.77777777777777</v>
      </c>
    </row>
    <row r="23" spans="2:37" s="18" customFormat="1" ht="15">
      <c r="B23" s="18" t="s">
        <v>186</v>
      </c>
      <c r="D23" s="17">
        <f>D17+D18-D20-D21-D22</f>
        <v>419</v>
      </c>
      <c r="E23" s="17">
        <f>E17+E18-E20-E21-E22</f>
        <v>1113</v>
      </c>
      <c r="F23" s="17">
        <v>614</v>
      </c>
      <c r="G23" s="17">
        <v>194</v>
      </c>
      <c r="H23" s="17">
        <f>AG23</f>
        <v>335</v>
      </c>
      <c r="I23" s="17"/>
      <c r="J23" s="17">
        <v>225</v>
      </c>
      <c r="K23" s="17">
        <f>K17+K18-K20-K21-K22</f>
        <v>272</v>
      </c>
      <c r="L23" s="17">
        <v>229</v>
      </c>
      <c r="M23" s="17">
        <v>387</v>
      </c>
      <c r="N23" s="17">
        <v>324</v>
      </c>
      <c r="O23" s="17">
        <v>68</v>
      </c>
      <c r="P23" s="17">
        <v>125</v>
      </c>
      <c r="Q23" s="17">
        <v>97</v>
      </c>
      <c r="R23" s="263">
        <v>34</v>
      </c>
      <c r="S23" s="263">
        <v>27</v>
      </c>
      <c r="T23" s="263">
        <v>41</v>
      </c>
      <c r="U23" s="263">
        <v>92</v>
      </c>
      <c r="V23" s="263">
        <v>43</v>
      </c>
      <c r="W23" s="263">
        <v>40</v>
      </c>
      <c r="X23" s="263">
        <v>36</v>
      </c>
      <c r="Y23" s="263">
        <v>79</v>
      </c>
      <c r="Z23" s="17">
        <f>Z17+Z18-Z20-Z21-Z22</f>
        <v>114</v>
      </c>
      <c r="AA23" s="17">
        <f>AA17+AA18-AA20-AA21-AA22</f>
        <v>128</v>
      </c>
      <c r="AB23" s="572">
        <f>AB17+AB18-AB20-AB21-AB22</f>
        <v>93</v>
      </c>
      <c r="AC23" s="19">
        <f>IF(AND(AB23=0,AB23=0),0,IF(OR(AND(AB23&gt;0,AA23&lt;=0),AND(AB23&lt;0,AA23&gt;=0)),"nm",IF(AND(AB23&lt;0,AA23&lt;0),IF(-(AB23/AA23-1)*100&lt;-100,"(&gt;100)",-(AB23/AA23-1)*100),IF((AB23/AA23-1)*100&gt;100,"&gt;100",(AB23/AA23-1)*100))))</f>
        <v>-27.34375</v>
      </c>
      <c r="AD23" s="121" t="str">
        <f>IF(AND(AB23=0,X23=0),0,IF(OR(AND(AB23&gt;0,X23&lt;=0),AND(AB23&lt;0,X23&gt;=0)),"nm",IF(AND(AB23&lt;0,X23&lt;0),IF(-(AB23/X23-1)*100&lt;-100,"(&gt;100)",-(AB23/X23-1)*100),IF((AB23/X23-1)*100&gt;100,"&gt;100",(AB23/X23-1)*100))))</f>
        <v>&gt;100</v>
      </c>
      <c r="AE23" s="263"/>
      <c r="AF23" s="312">
        <v>119</v>
      </c>
      <c r="AG23" s="572">
        <f>AG17+AG18-AG20-AG21-AG22</f>
        <v>335</v>
      </c>
      <c r="AH23" s="17" t="str">
        <f>IF(AND(AG23=0,AF23=0),0,IF(OR(AND(AG23&gt;0,AF23&lt;=0),AND(AG23&lt;0,AF23&gt;=0)),"nm",IF(AND(AG23&lt;0,AF23&lt;0),IF(-(AG23/AF23-1)*100&lt;-100,"(&gt;100)",-(AG23/AF23-1)*100),IF((AG23/AF23-1)*100&gt;100,"&gt;100",(AG23/AF23-1)*100))))</f>
        <v>&gt;100</v>
      </c>
      <c r="AI23" s="312">
        <v>83</v>
      </c>
      <c r="AJ23" s="125">
        <f>AJ17+AJ18-AJ20-AJ21-AJ22</f>
        <v>242</v>
      </c>
      <c r="AK23" s="17" t="str">
        <f>IF(AND(AJ23=0,AI23=0),0,IF(OR(AND(AJ23&gt;0,AI23&lt;=0),AND(AJ23&lt;0,AI23&gt;=0)),"nm",IF(AND(AJ23&lt;0,AI23&lt;0),IF(-(AJ23/AI23-1)*100&lt;-100,"(&gt;100)",-(AJ23/AI23-1)*100),IF((AJ23/AI23-1)*100&gt;100,"&gt;100",(AJ23/AI23-1)*100))))</f>
        <v>&gt;100</v>
      </c>
    </row>
    <row r="24" spans="8:36" ht="14.25">
      <c r="H24" s="121"/>
      <c r="Z24" s="355"/>
      <c r="AA24" s="355"/>
      <c r="AB24" s="489"/>
      <c r="AF24" s="171"/>
      <c r="AG24" s="489"/>
      <c r="AI24" s="165"/>
      <c r="AJ24" s="300"/>
    </row>
    <row r="25" spans="8:33" ht="14.25">
      <c r="H25" s="121"/>
      <c r="Z25" s="355"/>
      <c r="AA25" s="355"/>
      <c r="AB25" s="352"/>
      <c r="AF25" s="370"/>
      <c r="AG25" s="489"/>
    </row>
    <row r="26" spans="26:33" ht="14.25">
      <c r="Z26" s="355"/>
      <c r="AA26" s="355"/>
      <c r="AB26" s="352"/>
      <c r="AG26" s="489"/>
    </row>
    <row r="27" spans="26:33" ht="14.25">
      <c r="Z27" s="355"/>
      <c r="AA27" s="355"/>
      <c r="AB27" s="352"/>
      <c r="AG27" s="489"/>
    </row>
    <row r="28" spans="26:33" ht="14.25">
      <c r="Z28" s="355"/>
      <c r="AA28" s="355"/>
      <c r="AB28" s="352"/>
      <c r="AG28" s="352"/>
    </row>
    <row r="29" ht="14.25">
      <c r="AG29" s="352"/>
    </row>
    <row r="30" ht="14.25">
      <c r="AG30" s="352"/>
    </row>
    <row r="31" ht="14.25">
      <c r="AG31" s="352"/>
    </row>
    <row r="32" ht="14.25">
      <c r="AG32" s="352"/>
    </row>
    <row r="33" ht="14.25">
      <c r="AG33" s="352"/>
    </row>
    <row r="34" ht="14.25">
      <c r="AG34" s="352"/>
    </row>
    <row r="35" ht="14.25">
      <c r="AG35" s="352"/>
    </row>
    <row r="36" ht="14.25">
      <c r="AG36" s="352"/>
    </row>
    <row r="37" ht="14.25">
      <c r="AG37" s="352"/>
    </row>
    <row r="38" ht="14.25">
      <c r="AG38" s="352"/>
    </row>
    <row r="39" ht="14.25">
      <c r="AG39" s="352"/>
    </row>
    <row r="40" ht="14.25">
      <c r="AG40" s="352"/>
    </row>
    <row r="41" ht="14.25">
      <c r="AG41" s="352"/>
    </row>
    <row r="42" ht="14.25">
      <c r="AG42" s="352"/>
    </row>
  </sheetData>
  <sheetProtection/>
  <mergeCells count="1">
    <mergeCell ref="A2:C2"/>
  </mergeCells>
  <hyperlinks>
    <hyperlink ref="A2" location="Index!A1" display="Back to Index"/>
  </hyperlinks>
  <printOptions gridLines="1"/>
  <pageMargins left="0.75" right="0.5" top="1" bottom="1" header="0.5" footer="0.5"/>
  <pageSetup fitToHeight="1" fitToWidth="1" horizontalDpi="600" verticalDpi="600" orientation="landscape" paperSize="9" r:id="rId1"/>
  <headerFooter alignWithMargins="0">
    <oddFooter>&amp;L&amp;D\&amp;T&amp;R&amp;F\&amp;A</oddFooter>
  </headerFooter>
  <ignoredErrors>
    <ignoredError sqref="AG7 Z7:AB7 AJ7" formulaRange="1"/>
  </ignoredErrors>
</worksheet>
</file>

<file path=xl/worksheets/sheet8.xml><?xml version="1.0" encoding="utf-8"?>
<worksheet xmlns="http://schemas.openxmlformats.org/spreadsheetml/2006/main" xmlns:r="http://schemas.openxmlformats.org/officeDocument/2006/relationships">
  <sheetPr>
    <tabColor indexed="47"/>
    <pageSetUpPr fitToPage="1"/>
  </sheetPr>
  <dimension ref="A1:AL47"/>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N17" sqref="AN17"/>
    </sheetView>
  </sheetViews>
  <sheetFormatPr defaultColWidth="9.140625" defaultRowHeight="12.75" outlineLevelCol="1"/>
  <cols>
    <col min="1" max="1" width="2.7109375" style="22" customWidth="1"/>
    <col min="2" max="2" width="2.28125" style="22" customWidth="1"/>
    <col min="3" max="3" width="39.7109375" style="10" customWidth="1"/>
    <col min="4" max="4" width="11.8515625" style="76" hidden="1" customWidth="1" outlineLevel="1"/>
    <col min="5" max="8" width="11.8515625" style="75" hidden="1" customWidth="1" outlineLevel="1"/>
    <col min="9" max="9" width="2.57421875" style="75" hidden="1" customWidth="1" outlineLevel="1"/>
    <col min="10" max="17" width="11.140625" style="75" hidden="1" customWidth="1" outlineLevel="1"/>
    <col min="18" max="19" width="11.140625" style="75" hidden="1" customWidth="1" outlineLevel="1" collapsed="1"/>
    <col min="20" max="21" width="11.140625" style="75" hidden="1" customWidth="1" outlineLevel="1"/>
    <col min="22" max="22" width="11.140625" style="75" customWidth="1" collapsed="1"/>
    <col min="23" max="25" width="11.140625" style="75" customWidth="1"/>
    <col min="26" max="27" width="10.140625" style="75" customWidth="1"/>
    <col min="28" max="28" width="10.140625" style="119" customWidth="1"/>
    <col min="29" max="29" width="8.421875" style="75" customWidth="1"/>
    <col min="30" max="30" width="8.00390625" style="75" customWidth="1"/>
    <col min="31" max="31" width="3.7109375" style="21" customWidth="1"/>
    <col min="32" max="32" width="9.8515625" style="75" customWidth="1"/>
    <col min="33" max="33" width="9.8515625" style="119" customWidth="1"/>
    <col min="34" max="34" width="9.28125" style="75" customWidth="1"/>
    <col min="35" max="35" width="9.8515625" style="121" hidden="1" customWidth="1"/>
    <col min="36" max="36" width="9.8515625" style="122" hidden="1" customWidth="1"/>
    <col min="37" max="37" width="9.28125" style="121" hidden="1" customWidth="1"/>
    <col min="38" max="16384" width="9.140625" style="22" customWidth="1"/>
  </cols>
  <sheetData>
    <row r="1" spans="1:37" s="42" customFormat="1" ht="20.25">
      <c r="A1" s="41" t="s">
        <v>17</v>
      </c>
      <c r="D1" s="123"/>
      <c r="E1" s="124"/>
      <c r="F1" s="124"/>
      <c r="G1" s="124"/>
      <c r="H1" s="124"/>
      <c r="I1" s="124"/>
      <c r="J1" s="124"/>
      <c r="K1" s="124"/>
      <c r="L1" s="124"/>
      <c r="M1" s="124"/>
      <c r="N1" s="124"/>
      <c r="O1" s="124"/>
      <c r="P1" s="124"/>
      <c r="Q1" s="124"/>
      <c r="R1" s="124"/>
      <c r="S1" s="124"/>
      <c r="T1" s="124"/>
      <c r="U1" s="124"/>
      <c r="V1" s="124"/>
      <c r="W1" s="124"/>
      <c r="X1" s="124"/>
      <c r="Y1" s="124"/>
      <c r="Z1" s="266"/>
      <c r="AA1" s="266"/>
      <c r="AB1" s="266"/>
      <c r="AC1" s="124"/>
      <c r="AD1" s="124"/>
      <c r="AE1" s="43"/>
      <c r="AF1" s="124"/>
      <c r="AG1" s="266"/>
      <c r="AH1" s="124"/>
      <c r="AI1" s="124"/>
      <c r="AJ1" s="472"/>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'1.Highlights'!AC2</f>
        <v>3Q13
vs 
2Q13</v>
      </c>
      <c r="AD2" s="285" t="str">
        <f>+'1.Highlights'!AD2</f>
        <v>3Q13
vs 
3Q12</v>
      </c>
      <c r="AF2" s="74" t="s">
        <v>442</v>
      </c>
      <c r="AG2" s="74" t="s">
        <v>443</v>
      </c>
      <c r="AH2" s="285" t="s">
        <v>444</v>
      </c>
      <c r="AI2" s="285" t="str">
        <f>+'6.Allowances'!AI2</f>
        <v>1H12</v>
      </c>
      <c r="AJ2" s="285" t="str">
        <f>+'6.Allowances'!AJ2</f>
        <v>1H13</v>
      </c>
      <c r="AK2" s="285" t="str">
        <f>+'6.Allowances'!AK2</f>
        <v>1H13
vs 
1H12</v>
      </c>
    </row>
    <row r="3" spans="1:37" s="24" customFormat="1" ht="6.75" customHeight="1">
      <c r="A3" s="9"/>
      <c r="D3" s="8"/>
      <c r="E3" s="17"/>
      <c r="F3" s="17"/>
      <c r="G3" s="17"/>
      <c r="H3" s="17"/>
      <c r="I3" s="17"/>
      <c r="J3" s="17"/>
      <c r="K3" s="17"/>
      <c r="L3" s="17"/>
      <c r="M3" s="17"/>
      <c r="N3" s="17"/>
      <c r="O3" s="17"/>
      <c r="P3" s="17"/>
      <c r="Q3" s="17"/>
      <c r="R3" s="17"/>
      <c r="S3" s="17"/>
      <c r="T3" s="17"/>
      <c r="U3" s="17"/>
      <c r="V3" s="17"/>
      <c r="W3" s="17"/>
      <c r="X3" s="17"/>
      <c r="Y3" s="17"/>
      <c r="Z3" s="17"/>
      <c r="AA3" s="17"/>
      <c r="AB3" s="498"/>
      <c r="AC3" s="17"/>
      <c r="AD3" s="17"/>
      <c r="AF3" s="17"/>
      <c r="AG3" s="125"/>
      <c r="AH3" s="17"/>
      <c r="AI3" s="17"/>
      <c r="AJ3" s="125"/>
      <c r="AK3" s="17"/>
    </row>
    <row r="4" spans="1:37" s="24" customFormat="1" ht="15">
      <c r="A4" s="40" t="s">
        <v>220</v>
      </c>
      <c r="D4" s="8"/>
      <c r="E4" s="17"/>
      <c r="F4" s="17"/>
      <c r="G4" s="17"/>
      <c r="H4" s="17"/>
      <c r="I4" s="17"/>
      <c r="J4" s="17"/>
      <c r="K4" s="17"/>
      <c r="L4" s="17"/>
      <c r="M4" s="17"/>
      <c r="N4" s="17"/>
      <c r="O4" s="17"/>
      <c r="P4" s="17"/>
      <c r="Q4" s="17"/>
      <c r="R4" s="17"/>
      <c r="S4" s="17"/>
      <c r="T4" s="17"/>
      <c r="U4" s="17"/>
      <c r="V4" s="17"/>
      <c r="W4" s="17"/>
      <c r="X4" s="17"/>
      <c r="Y4" s="17"/>
      <c r="Z4" s="17"/>
      <c r="AA4" s="17"/>
      <c r="AB4" s="125"/>
      <c r="AC4" s="17"/>
      <c r="AD4" s="17"/>
      <c r="AF4" s="17"/>
      <c r="AG4" s="498"/>
      <c r="AH4" s="17"/>
      <c r="AI4" s="17"/>
      <c r="AJ4" s="125"/>
      <c r="AK4" s="17"/>
    </row>
    <row r="5" spans="1:37" s="18" customFormat="1" ht="15">
      <c r="A5" s="31" t="s">
        <v>218</v>
      </c>
      <c r="D5" s="17">
        <v>128365</v>
      </c>
      <c r="E5" s="17">
        <v>133420</v>
      </c>
      <c r="F5" s="17">
        <v>154722</v>
      </c>
      <c r="G5" s="17">
        <v>197827</v>
      </c>
      <c r="H5" s="17">
        <v>213828</v>
      </c>
      <c r="I5" s="17"/>
      <c r="J5" s="17">
        <v>132784</v>
      </c>
      <c r="K5" s="17">
        <v>130406</v>
      </c>
      <c r="L5" s="17">
        <v>130863</v>
      </c>
      <c r="M5" s="17">
        <v>133420</v>
      </c>
      <c r="N5" s="17">
        <v>136995</v>
      </c>
      <c r="O5" s="17">
        <v>149148</v>
      </c>
      <c r="P5" s="17">
        <v>150534</v>
      </c>
      <c r="Q5" s="17">
        <v>154722</v>
      </c>
      <c r="R5" s="17">
        <v>160101</v>
      </c>
      <c r="S5" s="17">
        <v>171457</v>
      </c>
      <c r="T5" s="17">
        <v>188536</v>
      </c>
      <c r="U5" s="17">
        <v>197827</v>
      </c>
      <c r="V5" s="17">
        <v>200745</v>
      </c>
      <c r="W5" s="17">
        <v>208455</v>
      </c>
      <c r="X5" s="17">
        <v>205735</v>
      </c>
      <c r="Y5" s="17">
        <v>213828</v>
      </c>
      <c r="Z5" s="17">
        <v>227029</v>
      </c>
      <c r="AA5" s="17">
        <v>238393</v>
      </c>
      <c r="AB5" s="125">
        <v>245280</v>
      </c>
      <c r="AC5" s="17">
        <f>IF(AND(AB5=0,AB5=0),0,IF(OR(AND(AB5&gt;0,AA5&lt;=0),AND(AB5&lt;0,AA5&gt;=0)),"nm",IF(AND(AB5&lt;0,AA5&lt;0),IF(-(AB5/AA5-1)*100&lt;-100,"(&gt;100)",-(AB5/AA5-1)*100),IF((AB5/AA5-1)*100&gt;100,"&gt;100",(AB5/AA5-1)*100))))</f>
        <v>2.8889271077590317</v>
      </c>
      <c r="AD5" s="17">
        <f>IF(AND(AB5=0,X5=0),0,IF(OR(AND(AB5&gt;0,X5&lt;=0),AND(AB5&lt;0,X5&gt;=0)),"nm",IF(AND(AB5&lt;0,X5&lt;0),IF(-(AB5/X5-1)*100&lt;-100,"(&gt;100)",-(AB5/X5-1)*100),IF((AB5/X5-1)*100&gt;100,"&gt;100",(AB5/X5-1)*100))))</f>
        <v>19.221328407903382</v>
      </c>
      <c r="AE5" s="15"/>
      <c r="AF5" s="17">
        <v>205735</v>
      </c>
      <c r="AG5" s="125">
        <f>AB5</f>
        <v>245280</v>
      </c>
      <c r="AH5" s="17">
        <f>IF(AND(AG5=0,AF5=0),0,IF(OR(AND(AG5&gt;0,AF5&lt;=0),AND(AG5&lt;0,AF5&gt;=0)),"nm",IF(AND(AG5&lt;0,AF5&lt;0),IF(-(AG5/AF5-1)*100&lt;-100,"(&gt;100)",-(AG5/AF5-1)*100),IF((AG5/AF5-1)*100&gt;100,"&gt;100",(AG5/AF5-1)*100))))</f>
        <v>19.221328407903382</v>
      </c>
      <c r="AI5" s="17">
        <f>W5</f>
        <v>208455</v>
      </c>
      <c r="AJ5" s="125">
        <f>+AA5</f>
        <v>238393</v>
      </c>
      <c r="AK5" s="17">
        <f>IF(AND(AJ5=0,AI5=0),0,IF(OR(AND(AJ5&gt;0,AI5&lt;=0),AND(AJ5&lt;0,AI5&gt;=0)),"nm",IF(AND(AJ5&lt;0,AI5&lt;0),IF(-(AJ5/AI5-1)*100&lt;-100,"(&gt;100)",-(AJ5/AI5-1)*100),IF((AJ5/AI5-1)*100&gt;100,"&gt;100",(AJ5/AI5-1)*100))))</f>
        <v>14.361852678036024</v>
      </c>
    </row>
    <row r="6" spans="1:37" s="18" customFormat="1" ht="15">
      <c r="A6" s="91" t="s">
        <v>94</v>
      </c>
      <c r="D6" s="17"/>
      <c r="E6" s="17"/>
      <c r="F6" s="17"/>
      <c r="G6" s="17"/>
      <c r="H6" s="17"/>
      <c r="I6" s="17"/>
      <c r="J6" s="17"/>
      <c r="K6" s="17"/>
      <c r="L6" s="17"/>
      <c r="M6" s="17"/>
      <c r="N6" s="17"/>
      <c r="O6" s="17"/>
      <c r="P6" s="17"/>
      <c r="Q6" s="17"/>
      <c r="R6" s="17"/>
      <c r="S6" s="17"/>
      <c r="T6" s="17"/>
      <c r="U6" s="17"/>
      <c r="V6" s="17"/>
      <c r="W6" s="17"/>
      <c r="X6" s="17"/>
      <c r="Y6" s="17"/>
      <c r="Z6" s="17"/>
      <c r="AA6" s="17"/>
      <c r="AB6" s="125"/>
      <c r="AC6" s="17"/>
      <c r="AD6" s="17"/>
      <c r="AE6" s="15"/>
      <c r="AF6" s="17"/>
      <c r="AG6" s="125"/>
      <c r="AH6" s="17"/>
      <c r="AI6" s="17"/>
      <c r="AJ6" s="125"/>
      <c r="AK6" s="17"/>
    </row>
    <row r="7" spans="1:38" ht="15">
      <c r="A7" s="36"/>
      <c r="B7" s="36" t="s">
        <v>196</v>
      </c>
      <c r="C7" s="22"/>
      <c r="D7" s="75">
        <v>868</v>
      </c>
      <c r="E7" s="75">
        <v>1512</v>
      </c>
      <c r="F7" s="75">
        <v>1152</v>
      </c>
      <c r="G7" s="75">
        <v>1188</v>
      </c>
      <c r="H7" s="75">
        <v>1217</v>
      </c>
      <c r="J7" s="75">
        <v>1051</v>
      </c>
      <c r="K7" s="75">
        <v>1090</v>
      </c>
      <c r="L7" s="75">
        <v>1214</v>
      </c>
      <c r="M7" s="75">
        <v>1512</v>
      </c>
      <c r="N7" s="75">
        <v>1748</v>
      </c>
      <c r="O7" s="75">
        <v>1645</v>
      </c>
      <c r="P7" s="75">
        <v>1300</v>
      </c>
      <c r="Q7" s="75">
        <v>1152</v>
      </c>
      <c r="R7" s="75">
        <v>1107</v>
      </c>
      <c r="S7" s="75">
        <v>1123</v>
      </c>
      <c r="T7" s="75">
        <v>1099</v>
      </c>
      <c r="U7" s="75">
        <v>1188</v>
      </c>
      <c r="V7" s="75">
        <v>1176</v>
      </c>
      <c r="W7" s="75">
        <v>1228</v>
      </c>
      <c r="X7" s="75">
        <v>1189</v>
      </c>
      <c r="Y7" s="75">
        <v>1217</v>
      </c>
      <c r="Z7" s="75">
        <v>1170</v>
      </c>
      <c r="AA7" s="121">
        <v>1286</v>
      </c>
      <c r="AB7" s="122">
        <v>1197</v>
      </c>
      <c r="AC7" s="75">
        <f>IF(AND(AB7=0,AB7=0),0,IF(OR(AND(AB7&gt;0,AA7&lt;=0),AND(AB7&lt;0,AA7&gt;=0)),"nm",IF(AND(AB7&lt;0,AA7&lt;0),IF(-(AB7/AA7-1)*100&lt;-100,"(&gt;100)",-(AB7/AA7-1)*100),IF((AB7/AA7-1)*100&gt;100,"&gt;100",(AB7/AA7-1)*100))))</f>
        <v>-6.920684292379475</v>
      </c>
      <c r="AD7" s="75">
        <f>IF(AND(AB7=0,X7=0),0,IF(OR(AND(AB7&gt;0,X7&lt;=0),AND(AB7&lt;0,X7&gt;=0)),"nm",IF(AND(AB7&lt;0,X7&lt;0),IF(-(AB7/X7-1)*100&lt;-100,"(&gt;100)",-(AB7/X7-1)*100),IF((AB7/X7-1)*100&gt;100,"&gt;100",(AB7/X7-1)*100))))</f>
        <v>0.6728343145500526</v>
      </c>
      <c r="AF7" s="75">
        <v>1189</v>
      </c>
      <c r="AG7" s="122">
        <f>AB7</f>
        <v>1197</v>
      </c>
      <c r="AH7" s="75">
        <f>IF(AND(AG7=0,AF7=0),0,IF(OR(AND(AG7&gt;0,AF7&lt;=0),AND(AG7&lt;0,AF7&gt;=0)),"nm",IF(AND(AG7&lt;0,AF7&lt;0),IF(-(AG7/AF7-1)*100&lt;-100,"(&gt;100)",-(AG7/AF7-1)*100),IF((AG7/AF7-1)*100&gt;100,"&gt;100",(AG7/AF7-1)*100))))</f>
        <v>0.6728343145500526</v>
      </c>
      <c r="AI7" s="121">
        <f>W7</f>
        <v>1228</v>
      </c>
      <c r="AJ7" s="122">
        <f>+AA7</f>
        <v>1286</v>
      </c>
      <c r="AK7" s="121">
        <f>IF(AND(AJ7=0,AI7=0),0,IF(OR(AND(AJ7&gt;0,AI7&lt;=0),AND(AJ7&lt;0,AI7&gt;=0)),"nm",IF(AND(AJ7&lt;0,AI7&lt;0),IF(-(AJ7/AI7-1)*100&lt;-100,"(&gt;100)",-(AJ7/AI7-1)*100),IF((AJ7/AI7-1)*100&gt;100,"&gt;100",(AJ7/AI7-1)*100))))</f>
        <v>4.723127035830621</v>
      </c>
      <c r="AL7" s="18"/>
    </row>
    <row r="8" spans="1:38" ht="15">
      <c r="A8" s="36"/>
      <c r="B8" s="36" t="s">
        <v>197</v>
      </c>
      <c r="C8" s="22"/>
      <c r="D8" s="75">
        <v>1016</v>
      </c>
      <c r="E8" s="75">
        <v>1325</v>
      </c>
      <c r="F8" s="75">
        <v>1476</v>
      </c>
      <c r="G8" s="75">
        <v>1919</v>
      </c>
      <c r="H8" s="75">
        <v>2092</v>
      </c>
      <c r="J8" s="75">
        <v>1176</v>
      </c>
      <c r="K8" s="75">
        <v>1346</v>
      </c>
      <c r="L8" s="75">
        <v>1341</v>
      </c>
      <c r="M8" s="75">
        <v>1325</v>
      </c>
      <c r="N8" s="75">
        <v>1339</v>
      </c>
      <c r="O8" s="75">
        <v>1433</v>
      </c>
      <c r="P8" s="75">
        <v>1449</v>
      </c>
      <c r="Q8" s="75">
        <v>1476</v>
      </c>
      <c r="R8" s="75">
        <v>1539</v>
      </c>
      <c r="S8" s="75">
        <v>1628</v>
      </c>
      <c r="T8" s="75">
        <v>1807</v>
      </c>
      <c r="U8" s="75">
        <v>1919</v>
      </c>
      <c r="V8" s="75">
        <v>1979</v>
      </c>
      <c r="W8" s="75">
        <v>2047</v>
      </c>
      <c r="X8" s="75">
        <v>2053</v>
      </c>
      <c r="Y8" s="75">
        <v>2092</v>
      </c>
      <c r="Z8" s="75">
        <v>2189</v>
      </c>
      <c r="AA8" s="121">
        <v>2320</v>
      </c>
      <c r="AB8" s="122">
        <v>2360</v>
      </c>
      <c r="AC8" s="75">
        <f>IF(AND(AB8=0,AB8=0),0,IF(OR(AND(AB8&gt;0,AA8&lt;=0),AND(AB8&lt;0,AA8&gt;=0)),"nm",IF(AND(AB8&lt;0,AA8&lt;0),IF(-(AB8/AA8-1)*100&lt;-100,"(&gt;100)",-(AB8/AA8-1)*100),IF((AB8/AA8-1)*100&gt;100,"&gt;100",(AB8/AA8-1)*100))))</f>
        <v>1.724137931034475</v>
      </c>
      <c r="AD8" s="75">
        <f>IF(AND(AB8=0,X8=0),0,IF(OR(AND(AB8&gt;0,X8&lt;=0),AND(AB8&lt;0,X8&gt;=0)),"nm",IF(AND(AB8&lt;0,X8&lt;0),IF(-(AB8/X8-1)*100&lt;-100,"(&gt;100)",-(AB8/X8-1)*100),IF((AB8/X8-1)*100&gt;100,"&gt;100",(AB8/X8-1)*100))))</f>
        <v>14.953726254262056</v>
      </c>
      <c r="AF8" s="75">
        <v>2053</v>
      </c>
      <c r="AG8" s="122">
        <f>AB8</f>
        <v>2360</v>
      </c>
      <c r="AH8" s="75">
        <f>IF(AND(AG8=0,AF8=0),0,IF(OR(AND(AG8&gt;0,AF8&lt;=0),AND(AG8&lt;0,AF8&gt;=0)),"nm",IF(AND(AG8&lt;0,AF8&lt;0),IF(-(AG8/AF8-1)*100&lt;-100,"(&gt;100)",-(AG8/AF8-1)*100),IF((AG8/AF8-1)*100&gt;100,"&gt;100",(AG8/AF8-1)*100))))</f>
        <v>14.953726254262056</v>
      </c>
      <c r="AI8" s="121">
        <f>W8</f>
        <v>2047</v>
      </c>
      <c r="AJ8" s="122">
        <f>+AA8</f>
        <v>2320</v>
      </c>
      <c r="AK8" s="121">
        <f>IF(AND(AJ8=0,AI8=0),0,IF(OR(AND(AJ8&gt;0,AI8&lt;=0),AND(AJ8&lt;0,AI8&gt;=0)),"nm",IF(AND(AJ8&lt;0,AI8&lt;0),IF(-(AJ8/AI8-1)*100&lt;-100,"(&gt;100)",-(AJ8/AI8-1)*100),IF((AJ8/AI8-1)*100&gt;100,"&gt;100",(AJ8/AI8-1)*100))))</f>
        <v>13.336590131900339</v>
      </c>
      <c r="AL8" s="18"/>
    </row>
    <row r="9" spans="1:37" s="18" customFormat="1" ht="15">
      <c r="A9" s="31" t="s">
        <v>219</v>
      </c>
      <c r="B9" s="31"/>
      <c r="D9" s="17">
        <v>126481</v>
      </c>
      <c r="E9" s="17">
        <v>130583</v>
      </c>
      <c r="F9" s="17">
        <v>152094</v>
      </c>
      <c r="G9" s="17">
        <v>194720</v>
      </c>
      <c r="H9" s="162">
        <v>210519</v>
      </c>
      <c r="I9" s="17"/>
      <c r="J9" s="17">
        <v>130557</v>
      </c>
      <c r="K9" s="17">
        <v>127970</v>
      </c>
      <c r="L9" s="17">
        <v>128308</v>
      </c>
      <c r="M9" s="17">
        <v>130583</v>
      </c>
      <c r="N9" s="17">
        <v>133908</v>
      </c>
      <c r="O9" s="17">
        <v>146070</v>
      </c>
      <c r="P9" s="17">
        <v>147785</v>
      </c>
      <c r="Q9" s="17">
        <v>152094</v>
      </c>
      <c r="R9" s="162">
        <v>157455</v>
      </c>
      <c r="S9" s="162">
        <v>168706</v>
      </c>
      <c r="T9" s="162">
        <v>185630</v>
      </c>
      <c r="U9" s="162">
        <v>194720</v>
      </c>
      <c r="V9" s="162">
        <v>197590</v>
      </c>
      <c r="W9" s="162">
        <v>205180</v>
      </c>
      <c r="X9" s="162">
        <v>202493</v>
      </c>
      <c r="Y9" s="162">
        <v>210519</v>
      </c>
      <c r="Z9" s="162">
        <f>Z5-Z7-Z8</f>
        <v>223670</v>
      </c>
      <c r="AA9" s="17">
        <f>AA5-AA7-AA8</f>
        <v>234787</v>
      </c>
      <c r="AB9" s="125">
        <f>AB5-AB7-AB8</f>
        <v>241723</v>
      </c>
      <c r="AC9" s="162">
        <f>IF(AND(AB9=0,AB9=0),0,IF(OR(AND(AB9&gt;0,AA9&lt;=0),AND(AB9&lt;0,AA9&gt;=0)),"nm",IF(AND(AB9&lt;0,AA9&lt;0),IF(-(AB9/AA9-1)*100&lt;-100,"(&gt;100)",-(AB9/AA9-1)*100),IF((AB9/AA9-1)*100&gt;100,"&gt;100",(AB9/AA9-1)*100))))</f>
        <v>2.9541669683585514</v>
      </c>
      <c r="AD9" s="162">
        <f>IF(AND(AB9=0,X9=0),0,IF(OR(AND(AB9&gt;0,X9&lt;=0),AND(AB9&lt;0,X9&gt;=0)),"nm",IF(AND(AB9&lt;0,X9&lt;0),IF(-(AB9/X9-1)*100&lt;-100,"(&gt;100)",-(AB9/X9-1)*100),IF((AB9/X9-1)*100&gt;100,"&gt;100",(AB9/X9-1)*100))))</f>
        <v>19.373509207725693</v>
      </c>
      <c r="AE9" s="318"/>
      <c r="AF9" s="162">
        <v>202493</v>
      </c>
      <c r="AG9" s="125">
        <f>AB9</f>
        <v>241723</v>
      </c>
      <c r="AH9" s="17">
        <f>IF(AND(AG9=0,AF9=0),0,IF(OR(AND(AG9&gt;0,AF9&lt;=0),AND(AG9&lt;0,AF9&gt;=0)),"nm",IF(AND(AG9&lt;0,AF9&lt;0),IF(-(AG9/AF9-1)*100&lt;-100,"(&gt;100)",-(AG9/AF9-1)*100),IF((AG9/AF9-1)*100&gt;100,"&gt;100",(AG9/AF9-1)*100))))</f>
        <v>19.373509207725693</v>
      </c>
      <c r="AI9" s="17">
        <f>W9</f>
        <v>205180</v>
      </c>
      <c r="AJ9" s="125">
        <f>+AA9</f>
        <v>234787</v>
      </c>
      <c r="AK9" s="17">
        <f>IF(AND(AJ9=0,AI9=0),0,IF(OR(AND(AJ9&gt;0,AI9&lt;=0),AND(AJ9&lt;0,AI9&gt;=0)),"nm",IF(AND(AJ9&lt;0,AI9&lt;0),IF(-(AJ9/AI9-1)*100&lt;-100,"(&gt;100)",-(AJ9/AI9-1)*100),IF((AJ9/AI9-1)*100&gt;100,"&gt;100",(AJ9/AI9-1)*100))))</f>
        <v>14.429768983331703</v>
      </c>
    </row>
    <row r="10" spans="2:38" ht="15">
      <c r="B10" s="31"/>
      <c r="C10" s="33"/>
      <c r="D10" s="75"/>
      <c r="H10" s="121"/>
      <c r="R10" s="121"/>
      <c r="S10" s="121"/>
      <c r="T10" s="121"/>
      <c r="U10" s="121"/>
      <c r="V10" s="121"/>
      <c r="W10" s="121"/>
      <c r="X10" s="121"/>
      <c r="Y10" s="121"/>
      <c r="Z10" s="121"/>
      <c r="AA10" s="121"/>
      <c r="AB10" s="122"/>
      <c r="AC10" s="121"/>
      <c r="AD10" s="121"/>
      <c r="AE10" s="19"/>
      <c r="AF10" s="121"/>
      <c r="AG10" s="122"/>
      <c r="AL10" s="18"/>
    </row>
    <row r="11" spans="1:37" s="18" customFormat="1" ht="15">
      <c r="A11" s="18" t="s">
        <v>218</v>
      </c>
      <c r="D11" s="17">
        <v>128365</v>
      </c>
      <c r="E11" s="17">
        <v>133420</v>
      </c>
      <c r="F11" s="17">
        <v>154722</v>
      </c>
      <c r="G11" s="17">
        <v>197827</v>
      </c>
      <c r="H11" s="17">
        <v>213828</v>
      </c>
      <c r="I11" s="17"/>
      <c r="J11" s="17">
        <v>132784</v>
      </c>
      <c r="K11" s="17">
        <v>130406</v>
      </c>
      <c r="L11" s="17">
        <v>130863</v>
      </c>
      <c r="M11" s="17">
        <v>133420</v>
      </c>
      <c r="N11" s="17">
        <v>136995</v>
      </c>
      <c r="O11" s="17">
        <v>149148</v>
      </c>
      <c r="P11" s="17">
        <v>150534</v>
      </c>
      <c r="Q11" s="17">
        <v>154722</v>
      </c>
      <c r="R11" s="17">
        <v>160101</v>
      </c>
      <c r="S11" s="17">
        <v>171457</v>
      </c>
      <c r="T11" s="17">
        <v>188536</v>
      </c>
      <c r="U11" s="17">
        <v>197827</v>
      </c>
      <c r="V11" s="17">
        <v>200745</v>
      </c>
      <c r="W11" s="17">
        <v>208455</v>
      </c>
      <c r="X11" s="17">
        <v>205735</v>
      </c>
      <c r="Y11" s="17">
        <v>213828</v>
      </c>
      <c r="Z11" s="17">
        <v>227029</v>
      </c>
      <c r="AA11" s="17">
        <v>238393</v>
      </c>
      <c r="AB11" s="125">
        <v>245280</v>
      </c>
      <c r="AC11" s="17">
        <f>IF(AND(AB11=0,AB11=0),0,IF(OR(AND(AB11&gt;0,AA11&lt;=0),AND(AB11&lt;0,AA11&gt;=0)),"nm",IF(AND(AB11&lt;0,AA11&lt;0),IF(-(AB11/AA11-1)*100&lt;-100,"(&gt;100)",-(AB11/AA11-1)*100),IF((AB11/AA11-1)*100&gt;100,"&gt;100",(AB11/AA11-1)*100))))</f>
        <v>2.8889271077590317</v>
      </c>
      <c r="AD11" s="17">
        <f>IF(AND(AB11=0,X11=0),0,IF(OR(AND(AB11&gt;0,X11&lt;=0),AND(AB11&lt;0,X11&gt;=0)),"nm",IF(AND(AB11&lt;0,X11&lt;0),IF(-(AB11/X11-1)*100&lt;-100,"(&gt;100)",-(AB11/X11-1)*100),IF((AB11/X11-1)*100&gt;100,"&gt;100",(AB11/X11-1)*100))))</f>
        <v>19.221328407903382</v>
      </c>
      <c r="AE11" s="15"/>
      <c r="AF11" s="17">
        <v>205735</v>
      </c>
      <c r="AG11" s="125">
        <f>AB11</f>
        <v>245280</v>
      </c>
      <c r="AH11" s="17">
        <f>IF(AND(AG11=0,AF11=0),0,IF(OR(AND(AG11&gt;0,AF11&lt;=0),AND(AG11&lt;0,AF11&gt;=0)),"nm",IF(AND(AG11&lt;0,AF11&lt;0),IF(-(AG11/AF11-1)*100&lt;-100,"(&gt;100)",-(AG11/AF11-1)*100),IF((AG11/AF11-1)*100&gt;100,"&gt;100",(AG11/AF11-1)*100))))</f>
        <v>19.221328407903382</v>
      </c>
      <c r="AI11" s="17">
        <f>W11</f>
        <v>208455</v>
      </c>
      <c r="AJ11" s="125">
        <f>+AA11</f>
        <v>238393</v>
      </c>
      <c r="AK11" s="17">
        <f>IF(AND(AJ11=0,AI11=0),0,IF(OR(AND(AJ11&gt;0,AI11&lt;=0),AND(AJ11&lt;0,AI11&gt;=0)),"nm",IF(AND(AJ11&lt;0,AI11&lt;0),IF(-(AJ11/AI11-1)*100&lt;-100,"(&gt;100)",-(AJ11/AI11-1)*100),IF((AJ11/AI11-1)*100&gt;100,"&gt;100",(AJ11/AI11-1)*100))))</f>
        <v>14.361852678036024</v>
      </c>
    </row>
    <row r="12" spans="1:38" ht="15">
      <c r="A12" s="91" t="s">
        <v>368</v>
      </c>
      <c r="C12" s="22"/>
      <c r="D12" s="75"/>
      <c r="K12" s="17"/>
      <c r="L12" s="17"/>
      <c r="M12" s="17"/>
      <c r="N12" s="17"/>
      <c r="O12" s="17"/>
      <c r="P12" s="17"/>
      <c r="Q12" s="17"/>
      <c r="R12" s="17"/>
      <c r="S12" s="17"/>
      <c r="T12" s="17"/>
      <c r="U12" s="17"/>
      <c r="V12" s="17"/>
      <c r="W12" s="17"/>
      <c r="X12" s="17"/>
      <c r="Y12" s="17"/>
      <c r="AA12" s="171"/>
      <c r="AB12" s="122"/>
      <c r="AF12" s="162"/>
      <c r="AG12" s="122"/>
      <c r="AI12" s="17"/>
      <c r="AL12" s="18"/>
    </row>
    <row r="13" spans="2:38" s="20" customFormat="1" ht="15">
      <c r="B13" s="20" t="s">
        <v>376</v>
      </c>
      <c r="D13" s="121">
        <v>38517</v>
      </c>
      <c r="E13" s="121">
        <v>44162</v>
      </c>
      <c r="F13" s="121">
        <v>50256</v>
      </c>
      <c r="G13" s="121">
        <v>54575</v>
      </c>
      <c r="H13" s="121">
        <v>61720</v>
      </c>
      <c r="I13" s="121"/>
      <c r="J13" s="121">
        <v>40047</v>
      </c>
      <c r="K13" s="121">
        <v>40175</v>
      </c>
      <c r="L13" s="121">
        <v>41690</v>
      </c>
      <c r="M13" s="121">
        <v>44162</v>
      </c>
      <c r="N13" s="121">
        <v>46117</v>
      </c>
      <c r="O13" s="121">
        <v>48386</v>
      </c>
      <c r="P13" s="121">
        <v>49108</v>
      </c>
      <c r="Q13" s="121">
        <v>50256</v>
      </c>
      <c r="R13" s="121">
        <v>51083</v>
      </c>
      <c r="S13" s="121">
        <v>52982</v>
      </c>
      <c r="T13" s="121">
        <v>53487</v>
      </c>
      <c r="U13" s="121">
        <v>54575</v>
      </c>
      <c r="V13" s="121">
        <v>56192</v>
      </c>
      <c r="W13" s="121">
        <v>58692</v>
      </c>
      <c r="X13" s="121">
        <v>60122</v>
      </c>
      <c r="Y13" s="121">
        <v>61720</v>
      </c>
      <c r="Z13" s="121">
        <v>63496</v>
      </c>
      <c r="AA13" s="121">
        <v>66195</v>
      </c>
      <c r="AB13" s="122">
        <v>68838</v>
      </c>
      <c r="AC13" s="121">
        <f>IF(AND(AB13=0,AB13=0),0,IF(OR(AND(AB13&gt;0,AA13&lt;=0),AND(AB13&lt;0,AA13&gt;=0)),"nm",IF(AND(AB13&lt;0,AA13&lt;0),IF(-(AB13/AA13-1)*100&lt;-100,"(&gt;100)",-(AB13/AA13-1)*100),IF((AB13/AA13-1)*100&gt;100,"&gt;100",(AB13/AA13-1)*100))))</f>
        <v>3.9927486970315007</v>
      </c>
      <c r="AD13" s="121">
        <f>IF(AND(AB13=0,X13=0),0,IF(OR(AND(AB13&gt;0,X13&lt;=0),AND(AB13&lt;0,X13&gt;=0)),"nm",IF(AND(AB13&lt;0,X13&lt;0),IF(-(AB13/X13-1)*100&lt;-100,"(&gt;100)",-(AB13/X13-1)*100),IF((AB13/X13-1)*100&gt;100,"&gt;100",(AB13/X13-1)*100))))</f>
        <v>14.497189048933844</v>
      </c>
      <c r="AE13" s="19"/>
      <c r="AF13" s="121">
        <v>60122</v>
      </c>
      <c r="AG13" s="122">
        <f>AB13</f>
        <v>68838</v>
      </c>
      <c r="AH13" s="121">
        <f>IF(AND(AG13=0,AF13=0),0,IF(OR(AND(AG13&gt;0,AF13&lt;=0),AND(AG13&lt;0,AF13&gt;=0)),"nm",IF(AND(AG13&lt;0,AF13&lt;0),IF(-(AG13/AF13-1)*100&lt;-100,"(&gt;100)",-(AG13/AF13-1)*100),IF((AG13/AF13-1)*100&gt;100,"&gt;100",(AG13/AF13-1)*100))))</f>
        <v>14.497189048933844</v>
      </c>
      <c r="AI13" s="121">
        <f>W13</f>
        <v>58692</v>
      </c>
      <c r="AJ13" s="122">
        <f>+AA13</f>
        <v>66195</v>
      </c>
      <c r="AK13" s="121">
        <f>IF(AND(AJ13=0,AI13=0),0,IF(OR(AND(AJ13&gt;0,AI13&lt;=0),AND(AJ13&lt;0,AI13&gt;=0)),"nm",IF(AND(AJ13&lt;0,AI13&lt;0),IF(-(AJ13/AI13-1)*100&lt;-100,"(&gt;100)",-(AJ13/AI13-1)*100),IF((AJ13/AI13-1)*100&gt;100,"&gt;100",(AJ13/AI13-1)*100))))</f>
        <v>12.783684318135347</v>
      </c>
      <c r="AL13" s="18"/>
    </row>
    <row r="14" spans="2:38" s="20" customFormat="1" ht="15">
      <c r="B14" s="20" t="s">
        <v>331</v>
      </c>
      <c r="C14" s="34"/>
      <c r="D14" s="121">
        <v>88255</v>
      </c>
      <c r="E14" s="121">
        <v>88503</v>
      </c>
      <c r="F14" s="121">
        <v>103219</v>
      </c>
      <c r="G14" s="121">
        <v>141084</v>
      </c>
      <c r="H14" s="121">
        <v>149331</v>
      </c>
      <c r="I14" s="121"/>
      <c r="J14" s="121">
        <v>91974</v>
      </c>
      <c r="K14" s="121">
        <v>89542</v>
      </c>
      <c r="L14" s="121">
        <v>88563</v>
      </c>
      <c r="M14" s="121">
        <v>88503</v>
      </c>
      <c r="N14" s="121">
        <v>90586</v>
      </c>
      <c r="O14" s="121">
        <v>100427</v>
      </c>
      <c r="P14" s="121">
        <v>100214</v>
      </c>
      <c r="Q14" s="121">
        <v>103219</v>
      </c>
      <c r="R14" s="121">
        <v>107637</v>
      </c>
      <c r="S14" s="121">
        <v>116714</v>
      </c>
      <c r="T14" s="121">
        <v>132932</v>
      </c>
      <c r="U14" s="121">
        <v>141084</v>
      </c>
      <c r="V14" s="121">
        <v>142986</v>
      </c>
      <c r="W14" s="121">
        <v>148306</v>
      </c>
      <c r="X14" s="121">
        <v>143436</v>
      </c>
      <c r="Y14" s="121">
        <v>149077</v>
      </c>
      <c r="Z14" s="121">
        <v>161438</v>
      </c>
      <c r="AA14" s="121">
        <v>169293</v>
      </c>
      <c r="AB14" s="122">
        <v>173489</v>
      </c>
      <c r="AC14" s="121">
        <f>IF(AND(AB14=0,AB14=0),0,IF(OR(AND(AB14&gt;0,AA14&lt;=0),AND(AB14&lt;0,AA14&gt;=0)),"nm",IF(AND(AB14&lt;0,AA14&lt;0),IF(-(AB14/AA14-1)*100&lt;-100,"(&gt;100)",-(AB14/AA14-1)*100),IF((AB14/AA14-1)*100&gt;100,"&gt;100",(AB14/AA14-1)*100))))</f>
        <v>2.4785431175536</v>
      </c>
      <c r="AD14" s="121">
        <f>IF(AND(AB14=0,X14=0),0,IF(OR(AND(AB14&gt;0,X14&lt;=0),AND(AB14&lt;0,X14&gt;=0)),"nm",IF(AND(AB14&lt;0,X14&lt;0),IF(-(AB14/X14-1)*100&lt;-100,"(&gt;100)",-(AB14/X14-1)*100),IF((AB14/X14-1)*100&gt;100,"&gt;100",(AB14/X14-1)*100))))</f>
        <v>20.952201678797522</v>
      </c>
      <c r="AE14" s="19"/>
      <c r="AF14" s="121">
        <v>143436</v>
      </c>
      <c r="AG14" s="122">
        <f>AB14</f>
        <v>173489</v>
      </c>
      <c r="AH14" s="121">
        <f>IF(AND(AG14=0,AF14=0),0,IF(OR(AND(AG14&gt;0,AF14&lt;=0),AND(AG14&lt;0,AF14&gt;=0)),"nm",IF(AND(AG14&lt;0,AF14&lt;0),IF(-(AG14/AF14-1)*100&lt;-100,"(&gt;100)",-(AG14/AF14-1)*100),IF((AG14/AF14-1)*100&gt;100,"&gt;100",(AG14/AF14-1)*100))))</f>
        <v>20.952201678797522</v>
      </c>
      <c r="AI14" s="121">
        <f>W14</f>
        <v>148306</v>
      </c>
      <c r="AJ14" s="122">
        <f>+AA14</f>
        <v>169293</v>
      </c>
      <c r="AK14" s="121">
        <f>IF(AND(AJ14=0,AI14=0),0,IF(OR(AND(AJ14&gt;0,AI14&lt;=0),AND(AJ14&lt;0,AI14&gt;=0)),"nm",IF(AND(AJ14&lt;0,AI14&lt;0),IF(-(AJ14/AI14-1)*100&lt;-100,"(&gt;100)",-(AJ14/AI14-1)*100),IF((AJ14/AI14-1)*100&gt;100,"&gt;100",(AJ14/AI14-1)*100))))</f>
        <v>14.151146952921657</v>
      </c>
      <c r="AL14" s="18"/>
    </row>
    <row r="15" spans="2:38" ht="15">
      <c r="B15" s="22" t="s">
        <v>35</v>
      </c>
      <c r="C15" s="36"/>
      <c r="D15" s="75">
        <v>1593</v>
      </c>
      <c r="E15" s="75">
        <v>755</v>
      </c>
      <c r="F15" s="75">
        <v>1247</v>
      </c>
      <c r="G15" s="75">
        <v>2168</v>
      </c>
      <c r="H15" s="75">
        <v>2777</v>
      </c>
      <c r="J15" s="75">
        <v>763</v>
      </c>
      <c r="K15" s="75">
        <v>689</v>
      </c>
      <c r="L15" s="75">
        <v>610</v>
      </c>
      <c r="M15" s="75">
        <v>755</v>
      </c>
      <c r="N15" s="75">
        <v>292</v>
      </c>
      <c r="O15" s="75">
        <v>335</v>
      </c>
      <c r="P15" s="75">
        <v>1212</v>
      </c>
      <c r="Q15" s="75">
        <v>1247</v>
      </c>
      <c r="R15" s="121">
        <v>1381</v>
      </c>
      <c r="S15" s="121">
        <v>1761</v>
      </c>
      <c r="T15" s="121">
        <v>2117</v>
      </c>
      <c r="U15" s="121">
        <v>2168</v>
      </c>
      <c r="V15" s="121">
        <v>1567</v>
      </c>
      <c r="W15" s="121">
        <v>1457</v>
      </c>
      <c r="X15" s="121">
        <v>2177</v>
      </c>
      <c r="Y15" s="121">
        <v>3031</v>
      </c>
      <c r="Z15" s="121">
        <v>2095</v>
      </c>
      <c r="AA15" s="121">
        <v>2905</v>
      </c>
      <c r="AB15" s="122">
        <v>2953</v>
      </c>
      <c r="AC15" s="121">
        <f>IF(AND(AB15=0,AB15=0),0,IF(OR(AND(AB15&gt;0,AA15&lt;=0),AND(AB15&lt;0,AA15&gt;=0)),"nm",IF(AND(AB15&lt;0,AA15&lt;0),IF(-(AB15/AA15-1)*100&lt;-100,"(&gt;100)",-(AB15/AA15-1)*100),IF((AB15/AA15-1)*100&gt;100,"&gt;100",(AB15/AA15-1)*100))))</f>
        <v>1.6523235800344205</v>
      </c>
      <c r="AD15" s="121">
        <f>IF(AND(AB15=0,X15=0),0,IF(OR(AND(AB15&gt;0,X15&lt;=0),AND(AB15&lt;0,X15&gt;=0)),"nm",IF(AND(AB15&lt;0,X15&lt;0),IF(-(AB15/X15-1)*100&lt;-100,"(&gt;100)",-(AB15/X15-1)*100),IF((AB15/X15-1)*100&gt;100,"&gt;100",(AB15/X15-1)*100))))</f>
        <v>35.64538355535141</v>
      </c>
      <c r="AE15" s="19"/>
      <c r="AF15" s="121">
        <v>2177</v>
      </c>
      <c r="AG15" s="122">
        <f>AB15</f>
        <v>2953</v>
      </c>
      <c r="AH15" s="75">
        <f>IF(AND(AG15=0,AF15=0),0,IF(OR(AND(AG15&gt;0,AF15&lt;=0),AND(AG15&lt;0,AF15&gt;=0)),"nm",IF(AND(AG15&lt;0,AF15&lt;0),IF(-(AG15/AF15-1)*100&lt;-100,"(&gt;100)",-(AG15/AF15-1)*100),IF((AG15/AF15-1)*100&gt;100,"&gt;100",(AG15/AF15-1)*100))))</f>
        <v>35.64538355535141</v>
      </c>
      <c r="AI15" s="121">
        <f>W15</f>
        <v>1457</v>
      </c>
      <c r="AJ15" s="122">
        <f>+AA15</f>
        <v>2905</v>
      </c>
      <c r="AK15" s="121">
        <f>IF(AND(AJ15=0,AI15=0),0,IF(OR(AND(AJ15&gt;0,AI15&lt;=0),AND(AJ15&lt;0,AI15&gt;=0)),"nm",IF(AND(AJ15&lt;0,AI15&lt;0),IF(-(AJ15/AI15-1)*100&lt;-100,"(&gt;100)",-(AJ15/AI15-1)*100),IF((AJ15/AI15-1)*100&gt;100,"&gt;100",(AJ15/AI15-1)*100))))</f>
        <v>99.38229238160604</v>
      </c>
      <c r="AL15" s="18"/>
    </row>
    <row r="16" spans="1:38" s="24" customFormat="1" ht="17.25" customHeight="1">
      <c r="A16" s="58" t="s">
        <v>369</v>
      </c>
      <c r="D16" s="17"/>
      <c r="E16" s="17"/>
      <c r="F16" s="17"/>
      <c r="G16" s="17"/>
      <c r="H16" s="17"/>
      <c r="I16" s="17"/>
      <c r="J16" s="17"/>
      <c r="K16" s="17"/>
      <c r="L16" s="17"/>
      <c r="M16" s="17"/>
      <c r="N16" s="17"/>
      <c r="O16" s="17"/>
      <c r="P16" s="17"/>
      <c r="Q16" s="17"/>
      <c r="R16" s="17"/>
      <c r="S16" s="17"/>
      <c r="T16" s="17"/>
      <c r="U16" s="17"/>
      <c r="V16" s="17"/>
      <c r="W16" s="17"/>
      <c r="X16" s="17"/>
      <c r="Y16" s="17"/>
      <c r="Z16" s="17"/>
      <c r="AA16" s="437"/>
      <c r="AB16" s="498"/>
      <c r="AC16" s="17"/>
      <c r="AD16" s="17"/>
      <c r="AF16" s="17"/>
      <c r="AG16" s="498"/>
      <c r="AH16" s="17"/>
      <c r="AI16" s="17"/>
      <c r="AJ16" s="125"/>
      <c r="AK16" s="17"/>
      <c r="AL16" s="18"/>
    </row>
    <row r="17" spans="2:38" ht="15">
      <c r="B17" s="22" t="s">
        <v>48</v>
      </c>
      <c r="C17" s="22"/>
      <c r="D17" s="75">
        <v>59789</v>
      </c>
      <c r="E17" s="75">
        <v>61713</v>
      </c>
      <c r="F17" s="75">
        <v>74595</v>
      </c>
      <c r="G17" s="75">
        <v>89427</v>
      </c>
      <c r="H17" s="121">
        <v>101485</v>
      </c>
      <c r="I17" s="121"/>
      <c r="J17" s="121">
        <v>62520</v>
      </c>
      <c r="K17" s="121">
        <v>61064</v>
      </c>
      <c r="L17" s="121">
        <v>61291</v>
      </c>
      <c r="M17" s="121">
        <v>61713</v>
      </c>
      <c r="N17" s="121">
        <v>64184</v>
      </c>
      <c r="O17" s="121">
        <v>70698</v>
      </c>
      <c r="P17" s="121">
        <v>72997</v>
      </c>
      <c r="Q17" s="121">
        <v>74595</v>
      </c>
      <c r="R17" s="121">
        <v>77824</v>
      </c>
      <c r="S17" s="121">
        <v>83466</v>
      </c>
      <c r="T17" s="121">
        <v>87538</v>
      </c>
      <c r="U17" s="121">
        <v>89427</v>
      </c>
      <c r="V17" s="121">
        <v>92702</v>
      </c>
      <c r="W17" s="121">
        <v>96075</v>
      </c>
      <c r="X17" s="121">
        <v>98624</v>
      </c>
      <c r="Y17" s="121">
        <v>101485</v>
      </c>
      <c r="Z17" s="75">
        <v>110427</v>
      </c>
      <c r="AA17" s="121">
        <v>114626</v>
      </c>
      <c r="AB17" s="575">
        <v>116333</v>
      </c>
      <c r="AC17" s="121">
        <f>IF(AND(AB17=0,AB17=0),0,IF(OR(AND(AB17&gt;0,AA17&lt;=0),AND(AB17&lt;0,AA17&gt;=0)),"nm",IF(AND(AB17&lt;0,AA17&lt;0),IF(-(AB17/AA17-1)*100&lt;-100,"(&gt;100)",-(AB17/AA17-1)*100),IF((AB17/AA17-1)*100&gt;100,"&gt;100",(AB17/AA17-1)*100))))</f>
        <v>1.4891909339940224</v>
      </c>
      <c r="AD17" s="121">
        <f>IF(AND(AB17=0,X17=0),0,IF(OR(AND(AB17&gt;0,X17&lt;=0),AND(AB17&lt;0,X17&gt;=0)),"nm",IF(AND(AB17&lt;0,X17&lt;0),IF(-(AB17/X17-1)*100&lt;-100,"(&gt;100)",-(AB17/X17-1)*100),IF((AB17/X17-1)*100&gt;100,"&gt;100",(AB17/X17-1)*100))))</f>
        <v>17.95607560025958</v>
      </c>
      <c r="AE17" s="19"/>
      <c r="AF17" s="121">
        <v>98624</v>
      </c>
      <c r="AG17" s="575">
        <f>AB17</f>
        <v>116333</v>
      </c>
      <c r="AH17" s="121">
        <f>IF(AND(AG17=0,AF17=0),0,IF(OR(AND(AG17&gt;0,AF17&lt;=0),AND(AG17&lt;0,AF17&gt;=0)),"nm",IF(AND(AG17&lt;0,AF17&lt;0),IF(-(AG17/AF17-1)*100&lt;-100,"(&gt;100)",-(AG17/AF17-1)*100),IF((AG17/AF17-1)*100&gt;100,"&gt;100",(AG17/AF17-1)*100))))</f>
        <v>17.95607560025958</v>
      </c>
      <c r="AI17" s="121">
        <f>W17</f>
        <v>96075</v>
      </c>
      <c r="AJ17" s="122">
        <f>+AA17</f>
        <v>114626</v>
      </c>
      <c r="AK17" s="121">
        <f>IF(AND(AJ17=0,AI17=0),0,IF(OR(AND(AJ17&gt;0,AI17&lt;=0),AND(AJ17&lt;0,AI17&gt;=0)),"nm",IF(AND(AJ17&lt;0,AI17&lt;0),IF(-(AJ17/AI17-1)*100&lt;-100,"(&gt;100)",-(AJ17/AI17-1)*100),IF((AJ17/AI17-1)*100&gt;100,"&gt;100",(AJ17/AI17-1)*100))))</f>
        <v>19.30887327608639</v>
      </c>
      <c r="AL17" s="18"/>
    </row>
    <row r="18" spans="2:38" ht="15">
      <c r="B18" s="22" t="s">
        <v>49</v>
      </c>
      <c r="C18" s="22"/>
      <c r="D18" s="75">
        <v>31888</v>
      </c>
      <c r="E18" s="75">
        <v>32999</v>
      </c>
      <c r="F18" s="75">
        <v>36688</v>
      </c>
      <c r="G18" s="75">
        <v>40369</v>
      </c>
      <c r="H18" s="121">
        <v>38119</v>
      </c>
      <c r="I18" s="121"/>
      <c r="J18" s="121">
        <v>32525</v>
      </c>
      <c r="K18" s="121">
        <v>31959</v>
      </c>
      <c r="L18" s="121">
        <v>31851</v>
      </c>
      <c r="M18" s="121">
        <v>32999</v>
      </c>
      <c r="N18" s="121">
        <v>33492</v>
      </c>
      <c r="O18" s="121">
        <v>36982</v>
      </c>
      <c r="P18" s="121">
        <v>36541</v>
      </c>
      <c r="Q18" s="121">
        <v>36688</v>
      </c>
      <c r="R18" s="121">
        <v>36556</v>
      </c>
      <c r="S18" s="121">
        <v>36933</v>
      </c>
      <c r="T18" s="121">
        <v>40689</v>
      </c>
      <c r="U18" s="121">
        <v>40369</v>
      </c>
      <c r="V18" s="121">
        <v>38531</v>
      </c>
      <c r="W18" s="121">
        <v>39565</v>
      </c>
      <c r="X18" s="121">
        <v>37538</v>
      </c>
      <c r="Y18" s="121">
        <v>38119</v>
      </c>
      <c r="Z18" s="75">
        <v>36733</v>
      </c>
      <c r="AA18" s="121">
        <v>37760</v>
      </c>
      <c r="AB18" s="575">
        <v>40093</v>
      </c>
      <c r="AC18" s="121">
        <f>IF(AND(AB18=0,AB18=0),0,IF(OR(AND(AB18&gt;0,AA18&lt;=0),AND(AB18&lt;0,AA18&gt;=0)),"nm",IF(AND(AB18&lt;0,AA18&lt;0),IF(-(AB18/AA18-1)*100&lt;-100,"(&gt;100)",-(AB18/AA18-1)*100),IF((AB18/AA18-1)*100&gt;100,"&gt;100",(AB18/AA18-1)*100))))</f>
        <v>6.178495762711855</v>
      </c>
      <c r="AD18" s="121">
        <f>IF(AND(AB18=0,X18=0),0,IF(OR(AND(AB18&gt;0,X18&lt;=0),AND(AB18&lt;0,X18&gt;=0)),"nm",IF(AND(AB18&lt;0,X18&lt;0),IF(-(AB18/X18-1)*100&lt;-100,"(&gt;100)",-(AB18/X18-1)*100),IF((AB18/X18-1)*100&gt;100,"&gt;100",(AB18/X18-1)*100))))</f>
        <v>6.806436144706707</v>
      </c>
      <c r="AE18" s="19"/>
      <c r="AF18" s="121">
        <v>37538</v>
      </c>
      <c r="AG18" s="575">
        <f>AB18</f>
        <v>40093</v>
      </c>
      <c r="AH18" s="121">
        <f>IF(AND(AG18=0,AF18=0),0,IF(OR(AND(AG18&gt;0,AF18&lt;=0),AND(AG18&lt;0,AF18&gt;=0)),"nm",IF(AND(AG18&lt;0,AF18&lt;0),IF(-(AG18/AF18-1)*100&lt;-100,"(&gt;100)",-(AG18/AF18-1)*100),IF((AG18/AF18-1)*100&gt;100,"&gt;100",(AG18/AF18-1)*100))))</f>
        <v>6.806436144706707</v>
      </c>
      <c r="AI18" s="121">
        <f>W18</f>
        <v>39565</v>
      </c>
      <c r="AJ18" s="122">
        <f>+AA18</f>
        <v>37760</v>
      </c>
      <c r="AK18" s="121">
        <f>IF(AND(AJ18=0,AI18=0),0,IF(OR(AND(AJ18&gt;0,AI18&lt;=0),AND(AJ18&lt;0,AI18&gt;=0)),"nm",IF(AND(AJ18&lt;0,AI18&lt;0),IF(-(AJ18/AI18-1)*100&lt;-100,"(&gt;100)",-(AJ18/AI18-1)*100),IF((AJ18/AI18-1)*100&gt;100,"&gt;100",(AJ18/AI18-1)*100))))</f>
        <v>-4.562112978642741</v>
      </c>
      <c r="AL18" s="18"/>
    </row>
    <row r="19" spans="2:38" ht="15">
      <c r="B19" s="22" t="s">
        <v>73</v>
      </c>
      <c r="C19" s="22"/>
      <c r="D19" s="75">
        <v>10735</v>
      </c>
      <c r="E19" s="75">
        <v>11211</v>
      </c>
      <c r="F19" s="75">
        <v>13495</v>
      </c>
      <c r="G19" s="75">
        <v>30147</v>
      </c>
      <c r="H19" s="121">
        <v>30678</v>
      </c>
      <c r="I19" s="121"/>
      <c r="J19" s="121">
        <v>10567</v>
      </c>
      <c r="K19" s="121">
        <v>10161</v>
      </c>
      <c r="L19" s="121">
        <v>10437</v>
      </c>
      <c r="M19" s="121">
        <v>11211</v>
      </c>
      <c r="N19" s="121">
        <v>11647</v>
      </c>
      <c r="O19" s="121">
        <v>11455</v>
      </c>
      <c r="P19" s="121">
        <v>11322</v>
      </c>
      <c r="Q19" s="121">
        <v>13495</v>
      </c>
      <c r="R19" s="121">
        <v>14262</v>
      </c>
      <c r="S19" s="121">
        <v>19121</v>
      </c>
      <c r="T19" s="121">
        <v>23620</v>
      </c>
      <c r="U19" s="121">
        <v>30147</v>
      </c>
      <c r="V19" s="121">
        <v>30272</v>
      </c>
      <c r="W19" s="121">
        <v>30848</v>
      </c>
      <c r="X19" s="121">
        <v>27538</v>
      </c>
      <c r="Y19" s="121">
        <v>30678</v>
      </c>
      <c r="Z19" s="75">
        <v>36997</v>
      </c>
      <c r="AA19" s="121">
        <v>41641</v>
      </c>
      <c r="AB19" s="575">
        <v>46463</v>
      </c>
      <c r="AC19" s="121">
        <f>IF(AND(AB19=0,AB19=0),0,IF(OR(AND(AB19&gt;0,AA19&lt;=0),AND(AB19&lt;0,AA19&gt;=0)),"nm",IF(AND(AB19&lt;0,AA19&lt;0),IF(-(AB19/AA19-1)*100&lt;-100,"(&gt;100)",-(AB19/AA19-1)*100),IF((AB19/AA19-1)*100&gt;100,"&gt;100",(AB19/AA19-1)*100))))</f>
        <v>11.579933238875139</v>
      </c>
      <c r="AD19" s="121">
        <f>IF(AND(AB19=0,X19=0),0,IF(OR(AND(AB19&gt;0,X19&lt;=0),AND(AB19&lt;0,X19&gt;=0)),"nm",IF(AND(AB19&lt;0,X19&lt;0),IF(-(AB19/X19-1)*100&lt;-100,"(&gt;100)",-(AB19/X19-1)*100),IF((AB19/X19-1)*100&gt;100,"&gt;100",(AB19/X19-1)*100))))</f>
        <v>68.72321882489652</v>
      </c>
      <c r="AE19" s="19"/>
      <c r="AF19" s="121">
        <v>27538</v>
      </c>
      <c r="AG19" s="575">
        <f>AB19</f>
        <v>46463</v>
      </c>
      <c r="AH19" s="121">
        <f>IF(AND(AG19=0,AF19=0),0,IF(OR(AND(AG19&gt;0,AF19&lt;=0),AND(AG19&lt;0,AF19&gt;=0)),"nm",IF(AND(AG19&lt;0,AF19&lt;0),IF(-(AG19/AF19-1)*100&lt;-100,"(&gt;100)",-(AG19/AF19-1)*100),IF((AG19/AF19-1)*100&gt;100,"&gt;100",(AG19/AF19-1)*100))))</f>
        <v>68.72321882489652</v>
      </c>
      <c r="AI19" s="121">
        <f>W19</f>
        <v>30848</v>
      </c>
      <c r="AJ19" s="122">
        <f>+AA19</f>
        <v>41641</v>
      </c>
      <c r="AK19" s="121">
        <f>IF(AND(AJ19=0,AI19=0),0,IF(OR(AND(AJ19&gt;0,AI19&lt;=0),AND(AJ19&lt;0,AI19&gt;=0)),"nm",IF(AND(AJ19&lt;0,AI19&lt;0),IF(-(AJ19/AI19-1)*100&lt;-100,"(&gt;100)",-(AJ19/AI19-1)*100),IF((AJ19/AI19-1)*100&gt;100,"&gt;100",(AJ19/AI19-1)*100))))</f>
        <v>34.9876815352697</v>
      </c>
      <c r="AL19" s="18"/>
    </row>
    <row r="20" spans="2:38" ht="15">
      <c r="B20" s="22" t="s">
        <v>93</v>
      </c>
      <c r="C20" s="22"/>
      <c r="D20" s="75">
        <v>10662</v>
      </c>
      <c r="E20" s="75">
        <v>11726</v>
      </c>
      <c r="F20" s="75">
        <v>13976</v>
      </c>
      <c r="G20" s="75">
        <v>19290</v>
      </c>
      <c r="H20" s="121">
        <v>23045</v>
      </c>
      <c r="I20" s="121"/>
      <c r="J20" s="121">
        <v>10820</v>
      </c>
      <c r="K20" s="121">
        <v>11026</v>
      </c>
      <c r="L20" s="121">
        <v>11969</v>
      </c>
      <c r="M20" s="121">
        <v>11726</v>
      </c>
      <c r="N20" s="121">
        <v>12020</v>
      </c>
      <c r="O20" s="121">
        <v>13653</v>
      </c>
      <c r="P20" s="121">
        <v>13677</v>
      </c>
      <c r="Q20" s="121">
        <v>13976</v>
      </c>
      <c r="R20" s="121">
        <v>15430</v>
      </c>
      <c r="S20" s="121">
        <v>15918</v>
      </c>
      <c r="T20" s="121">
        <v>18131</v>
      </c>
      <c r="U20" s="121">
        <v>19290</v>
      </c>
      <c r="V20" s="121">
        <v>19684</v>
      </c>
      <c r="W20" s="121">
        <v>22226</v>
      </c>
      <c r="X20" s="121">
        <v>22751</v>
      </c>
      <c r="Y20" s="121">
        <v>23045</v>
      </c>
      <c r="Z20" s="75">
        <v>22357</v>
      </c>
      <c r="AA20" s="121">
        <v>23161</v>
      </c>
      <c r="AB20" s="575">
        <v>21628</v>
      </c>
      <c r="AC20" s="121">
        <f>IF(AND(AB20=0,AB20=0),0,IF(OR(AND(AB20&gt;0,AA20&lt;=0),AND(AB20&lt;0,AA20&gt;=0)),"nm",IF(AND(AB20&lt;0,AA20&lt;0),IF(-(AB20/AA20-1)*100&lt;-100,"(&gt;100)",-(AB20/AA20-1)*100),IF((AB20/AA20-1)*100&gt;100,"&gt;100",(AB20/AA20-1)*100))))</f>
        <v>-6.618885194939772</v>
      </c>
      <c r="AD20" s="121">
        <f>IF(AND(AB20=0,X20=0),0,IF(OR(AND(AB20&gt;0,X20&lt;=0),AND(AB20&lt;0,X20&gt;=0)),"nm",IF(AND(AB20&lt;0,X20&lt;0),IF(-(AB20/X20-1)*100&lt;-100,"(&gt;100)",-(AB20/X20-1)*100),IF((AB20/X20-1)*100&gt;100,"&gt;100",(AB20/X20-1)*100))))</f>
        <v>-4.936046767175073</v>
      </c>
      <c r="AE20" s="19"/>
      <c r="AF20" s="121">
        <v>22751</v>
      </c>
      <c r="AG20" s="575">
        <f>AB20</f>
        <v>21628</v>
      </c>
      <c r="AH20" s="121">
        <f>IF(AND(AG20=0,AF20=0),0,IF(OR(AND(AG20&gt;0,AF20&lt;=0),AND(AG20&lt;0,AF20&gt;=0)),"nm",IF(AND(AG20&lt;0,AF20&lt;0),IF(-(AG20/AF20-1)*100&lt;-100,"(&gt;100)",-(AG20/AF20-1)*100),IF((AG20/AF20-1)*100&gt;100,"&gt;100",(AG20/AF20-1)*100))))</f>
        <v>-4.936046767175073</v>
      </c>
      <c r="AI20" s="121">
        <f>W20</f>
        <v>22226</v>
      </c>
      <c r="AJ20" s="122">
        <f>+AA20</f>
        <v>23161</v>
      </c>
      <c r="AK20" s="121">
        <f>IF(AND(AJ20=0,AI20=0),0,IF(OR(AND(AJ20&gt;0,AI20&lt;=0),AND(AJ20&lt;0,AI20&gt;=0)),"nm",IF(AND(AJ20&lt;0,AI20&lt;0),IF(-(AJ20/AI20-1)*100&lt;-100,"(&gt;100)",-(AJ20/AI20-1)*100),IF((AJ20/AI20-1)*100&gt;100,"&gt;100",(AJ20/AI20-1)*100))))</f>
        <v>4.206784846576084</v>
      </c>
      <c r="AL20" s="18"/>
    </row>
    <row r="21" spans="2:38" ht="15">
      <c r="B21" s="22" t="s">
        <v>96</v>
      </c>
      <c r="C21" s="22"/>
      <c r="D21" s="75">
        <v>15291</v>
      </c>
      <c r="E21" s="75">
        <v>15771</v>
      </c>
      <c r="F21" s="75">
        <v>15968</v>
      </c>
      <c r="G21" s="75">
        <v>18594</v>
      </c>
      <c r="H21" s="121">
        <v>20501</v>
      </c>
      <c r="I21" s="121"/>
      <c r="J21" s="121">
        <v>16352</v>
      </c>
      <c r="K21" s="121">
        <v>16196</v>
      </c>
      <c r="L21" s="121">
        <v>15315</v>
      </c>
      <c r="M21" s="121">
        <v>15771</v>
      </c>
      <c r="N21" s="121">
        <v>15652</v>
      </c>
      <c r="O21" s="121">
        <v>16360</v>
      </c>
      <c r="P21" s="121">
        <v>15997</v>
      </c>
      <c r="Q21" s="121">
        <v>15968</v>
      </c>
      <c r="R21" s="121">
        <v>16029</v>
      </c>
      <c r="S21" s="121">
        <v>16019</v>
      </c>
      <c r="T21" s="121">
        <v>18558</v>
      </c>
      <c r="U21" s="121">
        <v>18594</v>
      </c>
      <c r="V21" s="121">
        <v>19556</v>
      </c>
      <c r="W21" s="121">
        <v>19741</v>
      </c>
      <c r="X21" s="121">
        <v>19284</v>
      </c>
      <c r="Y21" s="121">
        <v>20501</v>
      </c>
      <c r="Z21" s="75">
        <v>20515</v>
      </c>
      <c r="AA21" s="121">
        <v>21205</v>
      </c>
      <c r="AB21" s="575">
        <v>20763</v>
      </c>
      <c r="AC21" s="121">
        <f>IF(AND(AB21=0,AB21=0),0,IF(OR(AND(AB21&gt;0,AA21&lt;=0),AND(AB21&lt;0,AA21&gt;=0)),"nm",IF(AND(AB21&lt;0,AA21&lt;0),IF(-(AB21/AA21-1)*100&lt;-100,"(&gt;100)",-(AB21/AA21-1)*100),IF((AB21/AA21-1)*100&gt;100,"&gt;100",(AB21/AA21-1)*100))))</f>
        <v>-2.0844140532893185</v>
      </c>
      <c r="AD21" s="121">
        <f>IF(AND(AB21=0,X21=0),0,IF(OR(AND(AB21&gt;0,X21&lt;=0),AND(AB21&lt;0,X21&gt;=0)),"nm",IF(AND(AB21&lt;0,X21&lt;0),IF(-(AB21/X21-1)*100&lt;-100,"(&gt;100)",-(AB21/X21-1)*100),IF((AB21/X21-1)*100&gt;100,"&gt;100",(AB21/X21-1)*100))))</f>
        <v>7.669570628500311</v>
      </c>
      <c r="AE21" s="19"/>
      <c r="AF21" s="121">
        <v>19284</v>
      </c>
      <c r="AG21" s="575">
        <f>AB21</f>
        <v>20763</v>
      </c>
      <c r="AH21" s="121">
        <f>IF(AND(AG21=0,AF21=0),0,IF(OR(AND(AG21&gt;0,AF21&lt;=0),AND(AG21&lt;0,AF21&gt;=0)),"nm",IF(AND(AG21&lt;0,AF21&lt;0),IF(-(AG21/AF21-1)*100&lt;-100,"(&gt;100)",-(AG21/AF21-1)*100),IF((AG21/AF21-1)*100&gt;100,"&gt;100",(AG21/AF21-1)*100))))</f>
        <v>7.669570628500311</v>
      </c>
      <c r="AI21" s="121">
        <f>W21</f>
        <v>19741</v>
      </c>
      <c r="AJ21" s="122">
        <f>+AA21</f>
        <v>21205</v>
      </c>
      <c r="AK21" s="121">
        <f>IF(AND(AJ21=0,AI21=0),0,IF(OR(AND(AJ21&gt;0,AI21&lt;=0),AND(AJ21&lt;0,AI21&gt;=0)),"nm",IF(AND(AJ21&lt;0,AI21&lt;0),IF(-(AJ21/AI21-1)*100&lt;-100,"(&gt;100)",-(AJ21/AI21-1)*100),IF((AJ21/AI21-1)*100&gt;100,"&gt;100",(AJ21/AI21-1)*100))))</f>
        <v>7.416037688060384</v>
      </c>
      <c r="AL21" s="18"/>
    </row>
    <row r="22" spans="1:38" ht="15">
      <c r="A22" s="91" t="s">
        <v>89</v>
      </c>
      <c r="C22" s="22"/>
      <c r="D22" s="75"/>
      <c r="W22" s="121"/>
      <c r="X22" s="121"/>
      <c r="AA22" s="165"/>
      <c r="AB22" s="122"/>
      <c r="AG22" s="489"/>
      <c r="AL22" s="18"/>
    </row>
    <row r="23" spans="2:38" ht="15">
      <c r="B23" s="22" t="s">
        <v>83</v>
      </c>
      <c r="C23" s="22"/>
      <c r="D23" s="75">
        <v>15958</v>
      </c>
      <c r="E23" s="75">
        <v>16239</v>
      </c>
      <c r="F23" s="75">
        <v>19217</v>
      </c>
      <c r="G23" s="75">
        <v>24872</v>
      </c>
      <c r="H23" s="121">
        <v>26625</v>
      </c>
      <c r="J23" s="75">
        <v>16946</v>
      </c>
      <c r="K23" s="75">
        <v>15589</v>
      </c>
      <c r="L23" s="75">
        <v>16242</v>
      </c>
      <c r="M23" s="75">
        <v>16239</v>
      </c>
      <c r="N23" s="75">
        <v>17098</v>
      </c>
      <c r="O23" s="75">
        <v>18404</v>
      </c>
      <c r="P23" s="75">
        <v>17814</v>
      </c>
      <c r="Q23" s="75">
        <v>19217</v>
      </c>
      <c r="R23" s="75">
        <v>19820</v>
      </c>
      <c r="S23" s="75">
        <v>22508</v>
      </c>
      <c r="T23" s="75">
        <v>23719</v>
      </c>
      <c r="U23" s="75">
        <v>24872</v>
      </c>
      <c r="V23" s="75">
        <v>25792</v>
      </c>
      <c r="W23" s="121">
        <v>27526</v>
      </c>
      <c r="X23" s="121">
        <v>26456</v>
      </c>
      <c r="Y23" s="75">
        <v>27037</v>
      </c>
      <c r="Z23" s="75">
        <v>31385</v>
      </c>
      <c r="AA23" s="121">
        <v>32556</v>
      </c>
      <c r="AB23" s="122">
        <v>30023</v>
      </c>
      <c r="AC23" s="121">
        <f aca="true" t="shared" si="0" ref="AC23:AC30">IF(AND(AB23=0,AB23=0),0,IF(OR(AND(AB23&gt;0,AA23&lt;=0),AND(AB23&lt;0,AA23&gt;=0)),"nm",IF(AND(AB23&lt;0,AA23&lt;0),IF(-(AB23/AA23-1)*100&lt;-100,"(&gt;100)",-(AB23/AA23-1)*100),IF((AB23/AA23-1)*100&gt;100,"&gt;100",(AB23/AA23-1)*100))))</f>
        <v>-7.780439857476351</v>
      </c>
      <c r="AD23" s="121">
        <f aca="true" t="shared" si="1" ref="AD23:AD30">IF(AND(AB23=0,X23=0),0,IF(OR(AND(AB23&gt;0,X23&lt;=0),AND(AB23&lt;0,X23&gt;=0)),"nm",IF(AND(AB23&lt;0,X23&lt;0),IF(-(AB23/X23-1)*100&lt;-100,"(&gt;100)",-(AB23/X23-1)*100),IF((AB23/X23-1)*100&gt;100,"&gt;100",(AB23/X23-1)*100))))</f>
        <v>13.4827638342909</v>
      </c>
      <c r="AE23" s="19"/>
      <c r="AF23" s="121">
        <v>26456</v>
      </c>
      <c r="AG23" s="122">
        <f aca="true" t="shared" si="2" ref="AG23:AG30">AB23</f>
        <v>30023</v>
      </c>
      <c r="AH23" s="75">
        <f aca="true" t="shared" si="3" ref="AH23:AH30">IF(AND(AG23=0,AF23=0),0,IF(OR(AND(AG23&gt;0,AF23&lt;=0),AND(AG23&lt;0,AF23&gt;=0)),"nm",IF(AND(AG23&lt;0,AF23&lt;0),IF(-(AG23/AF23-1)*100&lt;-100,"(&gt;100)",-(AG23/AF23-1)*100),IF((AG23/AF23-1)*100&gt;100,"&gt;100",(AG23/AF23-1)*100))))</f>
        <v>13.4827638342909</v>
      </c>
      <c r="AI23" s="121">
        <f aca="true" t="shared" si="4" ref="AI23:AI30">W23</f>
        <v>27526</v>
      </c>
      <c r="AJ23" s="122">
        <f aca="true" t="shared" si="5" ref="AJ23:AJ30">+AA23</f>
        <v>32556</v>
      </c>
      <c r="AK23" s="121">
        <f aca="true" t="shared" si="6" ref="AK23:AK30">IF(AND(AJ23=0,AI23=0),0,IF(OR(AND(AJ23&gt;0,AI23&lt;=0),AND(AJ23&lt;0,AI23&gt;=0)),"nm",IF(AND(AJ23&lt;0,AI23&lt;0),IF(-(AJ23/AI23-1)*100&lt;-100,"(&gt;100)",-(AJ23/AI23-1)*100),IF((AJ23/AI23-1)*100&gt;100,"&gt;100",(AJ23/AI23-1)*100))))</f>
        <v>18.273632202281487</v>
      </c>
      <c r="AL23" s="18"/>
    </row>
    <row r="24" spans="2:38" ht="15">
      <c r="B24" s="22" t="s">
        <v>84</v>
      </c>
      <c r="C24" s="22"/>
      <c r="D24" s="75">
        <v>17931</v>
      </c>
      <c r="E24" s="75">
        <v>18433</v>
      </c>
      <c r="F24" s="75">
        <v>21385</v>
      </c>
      <c r="G24" s="75">
        <v>28527</v>
      </c>
      <c r="H24" s="121">
        <v>32073</v>
      </c>
      <c r="J24" s="75">
        <v>18786</v>
      </c>
      <c r="K24" s="75">
        <v>18220</v>
      </c>
      <c r="L24" s="75">
        <v>17722</v>
      </c>
      <c r="M24" s="75">
        <v>18433</v>
      </c>
      <c r="N24" s="75">
        <v>18852</v>
      </c>
      <c r="O24" s="75">
        <v>20282</v>
      </c>
      <c r="P24" s="75">
        <v>21194</v>
      </c>
      <c r="Q24" s="75">
        <v>21385</v>
      </c>
      <c r="R24" s="75">
        <v>23537</v>
      </c>
      <c r="S24" s="75">
        <v>24555</v>
      </c>
      <c r="T24" s="75">
        <v>26798</v>
      </c>
      <c r="U24" s="75">
        <v>28527</v>
      </c>
      <c r="V24" s="75">
        <v>33606</v>
      </c>
      <c r="W24" s="121">
        <v>34698</v>
      </c>
      <c r="X24" s="121">
        <v>34939</v>
      </c>
      <c r="Y24" s="75">
        <v>36179</v>
      </c>
      <c r="Z24" s="75">
        <v>37113</v>
      </c>
      <c r="AA24" s="121">
        <v>40177</v>
      </c>
      <c r="AB24" s="122">
        <v>42089</v>
      </c>
      <c r="AC24" s="121">
        <f t="shared" si="0"/>
        <v>4.758941683052487</v>
      </c>
      <c r="AD24" s="121">
        <f t="shared" si="1"/>
        <v>20.46423767137011</v>
      </c>
      <c r="AE24" s="19"/>
      <c r="AF24" s="121">
        <v>34939</v>
      </c>
      <c r="AG24" s="122">
        <f t="shared" si="2"/>
        <v>42089</v>
      </c>
      <c r="AH24" s="75">
        <f t="shared" si="3"/>
        <v>20.46423767137011</v>
      </c>
      <c r="AI24" s="121">
        <f t="shared" si="4"/>
        <v>34698</v>
      </c>
      <c r="AJ24" s="122">
        <f t="shared" si="5"/>
        <v>40177</v>
      </c>
      <c r="AK24" s="121">
        <f t="shared" si="6"/>
        <v>15.790535477549138</v>
      </c>
      <c r="AL24" s="18"/>
    </row>
    <row r="25" spans="2:38" ht="15">
      <c r="B25" s="22" t="s">
        <v>85</v>
      </c>
      <c r="C25" s="22"/>
      <c r="D25" s="75">
        <v>29375</v>
      </c>
      <c r="E25" s="75">
        <v>33120</v>
      </c>
      <c r="F25" s="75">
        <v>38676</v>
      </c>
      <c r="G25" s="75">
        <v>41322</v>
      </c>
      <c r="H25" s="121">
        <v>45570</v>
      </c>
      <c r="J25" s="75">
        <v>29882</v>
      </c>
      <c r="K25" s="75">
        <v>29821</v>
      </c>
      <c r="L25" s="75">
        <v>30956</v>
      </c>
      <c r="M25" s="75">
        <v>33120</v>
      </c>
      <c r="N25" s="75">
        <v>34949</v>
      </c>
      <c r="O25" s="75">
        <v>37082</v>
      </c>
      <c r="P25" s="75">
        <v>38030</v>
      </c>
      <c r="Q25" s="75">
        <v>38676</v>
      </c>
      <c r="R25" s="75">
        <v>38929</v>
      </c>
      <c r="S25" s="75">
        <v>39368</v>
      </c>
      <c r="T25" s="75">
        <v>40749</v>
      </c>
      <c r="U25" s="75">
        <v>41322</v>
      </c>
      <c r="V25" s="75">
        <v>41763</v>
      </c>
      <c r="W25" s="121">
        <v>43086</v>
      </c>
      <c r="X25" s="121">
        <v>44147</v>
      </c>
      <c r="Y25" s="75">
        <v>45570</v>
      </c>
      <c r="Z25" s="75">
        <v>46500</v>
      </c>
      <c r="AA25" s="121">
        <v>47202</v>
      </c>
      <c r="AB25" s="122">
        <v>48263</v>
      </c>
      <c r="AC25" s="121">
        <f t="shared" si="0"/>
        <v>2.247786110758021</v>
      </c>
      <c r="AD25" s="121">
        <f t="shared" si="1"/>
        <v>9.323396833306896</v>
      </c>
      <c r="AE25" s="19"/>
      <c r="AF25" s="121">
        <v>44147</v>
      </c>
      <c r="AG25" s="122">
        <f t="shared" si="2"/>
        <v>48263</v>
      </c>
      <c r="AH25" s="75">
        <f>IF(AND(AG25=0,AF25=0),0,IF(OR(AND(AG25&gt;0,AF25&lt;=0),AND(AG25&lt;0,AF25&gt;=0)),"nm",IF(AND(AG25&lt;0,AF25&lt;0),IF(-(AG25/AF25-1)*100&lt;-100,"(&gt;100)",-(AG25/AF25-1)*100),IF((AG25/AF25-1)*100&gt;100,"&gt;100",(AG25/AF25-1)*100))))</f>
        <v>9.323396833306896</v>
      </c>
      <c r="AI25" s="121">
        <f t="shared" si="4"/>
        <v>43086</v>
      </c>
      <c r="AJ25" s="122">
        <f t="shared" si="5"/>
        <v>47202</v>
      </c>
      <c r="AK25" s="121">
        <f>IF(AND(AJ25=0,AI25=0),0,IF(OR(AND(AJ25&gt;0,AI25&lt;=0),AND(AJ25&lt;0,AI25&gt;=0)),"nm",IF(AND(AJ25&lt;0,AI25&lt;0),IF(-(AJ25/AI25-1)*100&lt;-100,"(&gt;100)",-(AJ25/AI25-1)*100),IF((AJ25/AI25-1)*100&gt;100,"&gt;100",(AJ25/AI25-1)*100))))</f>
        <v>9.552987049157501</v>
      </c>
      <c r="AL25" s="18"/>
    </row>
    <row r="26" spans="2:38" ht="15">
      <c r="B26" s="22" t="s">
        <v>86</v>
      </c>
      <c r="C26" s="22"/>
      <c r="D26" s="75">
        <v>13075</v>
      </c>
      <c r="E26" s="75">
        <v>13335</v>
      </c>
      <c r="F26" s="75">
        <v>16732</v>
      </c>
      <c r="G26" s="75">
        <v>34159</v>
      </c>
      <c r="H26" s="121">
        <v>38077</v>
      </c>
      <c r="J26" s="75">
        <v>12426</v>
      </c>
      <c r="K26" s="75">
        <v>12117</v>
      </c>
      <c r="L26" s="75">
        <v>12245</v>
      </c>
      <c r="M26" s="75">
        <v>13335</v>
      </c>
      <c r="N26" s="75">
        <v>13617</v>
      </c>
      <c r="O26" s="75">
        <v>14798</v>
      </c>
      <c r="P26" s="75">
        <v>15053</v>
      </c>
      <c r="Q26" s="75">
        <v>16732</v>
      </c>
      <c r="R26" s="75">
        <v>17554</v>
      </c>
      <c r="S26" s="75">
        <v>23545</v>
      </c>
      <c r="T26" s="75">
        <v>31217</v>
      </c>
      <c r="U26" s="75">
        <v>34159</v>
      </c>
      <c r="V26" s="75">
        <v>35102</v>
      </c>
      <c r="W26" s="121">
        <v>37260</v>
      </c>
      <c r="X26" s="121">
        <v>35691</v>
      </c>
      <c r="Y26" s="75">
        <v>38230</v>
      </c>
      <c r="Z26" s="75">
        <v>46147</v>
      </c>
      <c r="AA26" s="121">
        <v>48230</v>
      </c>
      <c r="AB26" s="122">
        <v>52196</v>
      </c>
      <c r="AC26" s="121">
        <f t="shared" si="0"/>
        <v>8.223097657059931</v>
      </c>
      <c r="AD26" s="121">
        <f t="shared" si="1"/>
        <v>46.24415118657366</v>
      </c>
      <c r="AE26" s="19"/>
      <c r="AF26" s="121">
        <v>35691</v>
      </c>
      <c r="AG26" s="122">
        <f t="shared" si="2"/>
        <v>52196</v>
      </c>
      <c r="AH26" s="75">
        <f t="shared" si="3"/>
        <v>46.24415118657366</v>
      </c>
      <c r="AI26" s="121">
        <f t="shared" si="4"/>
        <v>37260</v>
      </c>
      <c r="AJ26" s="122">
        <f t="shared" si="5"/>
        <v>48230</v>
      </c>
      <c r="AK26" s="121">
        <f t="shared" si="6"/>
        <v>29.44176060118089</v>
      </c>
      <c r="AL26" s="18"/>
    </row>
    <row r="27" spans="2:38" ht="15">
      <c r="B27" s="22" t="s">
        <v>87</v>
      </c>
      <c r="C27" s="22"/>
      <c r="D27" s="75">
        <v>12457</v>
      </c>
      <c r="E27" s="75">
        <v>12277</v>
      </c>
      <c r="F27" s="75">
        <v>14378</v>
      </c>
      <c r="G27" s="75">
        <v>16929</v>
      </c>
      <c r="H27" s="121">
        <v>17177</v>
      </c>
      <c r="J27" s="75">
        <v>13073</v>
      </c>
      <c r="K27" s="75">
        <v>13043</v>
      </c>
      <c r="L27" s="75">
        <v>13026</v>
      </c>
      <c r="M27" s="75">
        <v>12277</v>
      </c>
      <c r="N27" s="75">
        <v>12598</v>
      </c>
      <c r="O27" s="75">
        <v>13294</v>
      </c>
      <c r="P27" s="75">
        <v>13714</v>
      </c>
      <c r="Q27" s="75">
        <v>14378</v>
      </c>
      <c r="R27" s="75">
        <v>14872</v>
      </c>
      <c r="S27" s="75">
        <v>15938</v>
      </c>
      <c r="T27" s="75">
        <v>16961</v>
      </c>
      <c r="U27" s="75">
        <v>16929</v>
      </c>
      <c r="V27" s="75">
        <v>16731</v>
      </c>
      <c r="W27" s="121">
        <f>18151+518</f>
        <v>18669</v>
      </c>
      <c r="X27" s="121">
        <f>16615+499</f>
        <v>17114</v>
      </c>
      <c r="Y27" s="75">
        <v>17745</v>
      </c>
      <c r="Z27" s="75">
        <v>17535</v>
      </c>
      <c r="AA27" s="121">
        <v>19816</v>
      </c>
      <c r="AB27" s="122">
        <v>19743</v>
      </c>
      <c r="AC27" s="121">
        <f t="shared" si="0"/>
        <v>-0.36838918046023794</v>
      </c>
      <c r="AD27" s="121">
        <f t="shared" si="1"/>
        <v>15.361692181839427</v>
      </c>
      <c r="AE27" s="19"/>
      <c r="AF27" s="121">
        <f>16615+499</f>
        <v>17114</v>
      </c>
      <c r="AG27" s="122">
        <f t="shared" si="2"/>
        <v>19743</v>
      </c>
      <c r="AH27" s="75">
        <f t="shared" si="3"/>
        <v>15.361692181839427</v>
      </c>
      <c r="AI27" s="121">
        <f t="shared" si="4"/>
        <v>18669</v>
      </c>
      <c r="AJ27" s="122">
        <f t="shared" si="5"/>
        <v>19816</v>
      </c>
      <c r="AK27" s="121">
        <f t="shared" si="6"/>
        <v>6.143874872783761</v>
      </c>
      <c r="AL27" s="18"/>
    </row>
    <row r="28" spans="2:38" ht="15">
      <c r="B28" s="22" t="s">
        <v>88</v>
      </c>
      <c r="C28" s="22"/>
      <c r="D28" s="75">
        <v>14490</v>
      </c>
      <c r="E28" s="75">
        <v>16710</v>
      </c>
      <c r="F28" s="75">
        <v>18517</v>
      </c>
      <c r="G28" s="75">
        <v>19743</v>
      </c>
      <c r="H28" s="121">
        <v>16914</v>
      </c>
      <c r="J28" s="75">
        <v>16988</v>
      </c>
      <c r="K28" s="75">
        <v>17107</v>
      </c>
      <c r="L28" s="75">
        <v>16939</v>
      </c>
      <c r="M28" s="75">
        <v>16710</v>
      </c>
      <c r="N28" s="75">
        <v>16813</v>
      </c>
      <c r="O28" s="75">
        <v>20202</v>
      </c>
      <c r="P28" s="75">
        <v>19868</v>
      </c>
      <c r="Q28" s="75">
        <v>18517</v>
      </c>
      <c r="R28" s="75">
        <v>17698</v>
      </c>
      <c r="S28" s="75">
        <v>16104</v>
      </c>
      <c r="T28" s="75">
        <v>19222</v>
      </c>
      <c r="U28" s="75">
        <v>19743</v>
      </c>
      <c r="V28" s="75">
        <v>11064</v>
      </c>
      <c r="W28" s="121">
        <f>11131-518</f>
        <v>10613</v>
      </c>
      <c r="X28" s="121">
        <f>10657-499</f>
        <v>10158</v>
      </c>
      <c r="Y28" s="75">
        <v>11155</v>
      </c>
      <c r="Z28" s="75">
        <v>10431</v>
      </c>
      <c r="AA28" s="121">
        <v>9976</v>
      </c>
      <c r="AB28" s="122">
        <v>10527</v>
      </c>
      <c r="AC28" s="121">
        <f t="shared" si="0"/>
        <v>5.523255813953498</v>
      </c>
      <c r="AD28" s="121">
        <f t="shared" si="1"/>
        <v>3.6326048434731195</v>
      </c>
      <c r="AE28" s="19"/>
      <c r="AF28" s="121">
        <f>10657-499</f>
        <v>10158</v>
      </c>
      <c r="AG28" s="122">
        <f t="shared" si="2"/>
        <v>10527</v>
      </c>
      <c r="AH28" s="75">
        <f t="shared" si="3"/>
        <v>3.6326048434731195</v>
      </c>
      <c r="AI28" s="121">
        <f t="shared" si="4"/>
        <v>10613</v>
      </c>
      <c r="AJ28" s="122">
        <f t="shared" si="5"/>
        <v>9976</v>
      </c>
      <c r="AK28" s="121">
        <f t="shared" si="6"/>
        <v>-6.002072929426172</v>
      </c>
      <c r="AL28" s="18"/>
    </row>
    <row r="29" spans="2:38" ht="15">
      <c r="B29" s="22" t="s">
        <v>90</v>
      </c>
      <c r="C29" s="22"/>
      <c r="D29" s="75">
        <v>10478</v>
      </c>
      <c r="E29" s="75">
        <v>10873</v>
      </c>
      <c r="F29" s="75">
        <v>11142</v>
      </c>
      <c r="G29" s="75">
        <v>12800</v>
      </c>
      <c r="H29" s="121">
        <v>14969</v>
      </c>
      <c r="J29" s="75">
        <v>10346</v>
      </c>
      <c r="K29" s="75">
        <v>10660</v>
      </c>
      <c r="L29" s="75">
        <v>10559</v>
      </c>
      <c r="M29" s="75">
        <v>10873</v>
      </c>
      <c r="N29" s="75">
        <v>10397</v>
      </c>
      <c r="O29" s="75">
        <v>10480</v>
      </c>
      <c r="P29" s="75">
        <v>10652</v>
      </c>
      <c r="Q29" s="75">
        <v>11142</v>
      </c>
      <c r="R29" s="75">
        <v>11447</v>
      </c>
      <c r="S29" s="75">
        <v>12526</v>
      </c>
      <c r="T29" s="75">
        <v>11926</v>
      </c>
      <c r="U29" s="75">
        <v>12800</v>
      </c>
      <c r="V29" s="75">
        <v>13360</v>
      </c>
      <c r="W29" s="121">
        <v>14295</v>
      </c>
      <c r="X29" s="121">
        <v>14950</v>
      </c>
      <c r="Y29" s="75">
        <v>14969</v>
      </c>
      <c r="Z29" s="75">
        <v>15488</v>
      </c>
      <c r="AA29" s="121">
        <v>16989</v>
      </c>
      <c r="AB29" s="122">
        <v>18230</v>
      </c>
      <c r="AC29" s="121">
        <f t="shared" si="0"/>
        <v>7.30472658779211</v>
      </c>
      <c r="AD29" s="121">
        <f t="shared" si="1"/>
        <v>21.939799331103682</v>
      </c>
      <c r="AE29" s="19"/>
      <c r="AF29" s="121">
        <v>14950</v>
      </c>
      <c r="AG29" s="122">
        <f t="shared" si="2"/>
        <v>18230</v>
      </c>
      <c r="AH29" s="75">
        <f t="shared" si="3"/>
        <v>21.939799331103682</v>
      </c>
      <c r="AI29" s="121">
        <f t="shared" si="4"/>
        <v>14295</v>
      </c>
      <c r="AJ29" s="122">
        <f t="shared" si="5"/>
        <v>16989</v>
      </c>
      <c r="AK29" s="121">
        <f t="shared" si="6"/>
        <v>18.845750262329485</v>
      </c>
      <c r="AL29" s="18"/>
    </row>
    <row r="30" spans="2:38" ht="15">
      <c r="B30" s="22" t="s">
        <v>35</v>
      </c>
      <c r="C30" s="22"/>
      <c r="D30" s="75">
        <v>14601</v>
      </c>
      <c r="E30" s="75">
        <v>12433</v>
      </c>
      <c r="F30" s="75">
        <v>14675</v>
      </c>
      <c r="G30" s="75">
        <v>19475</v>
      </c>
      <c r="H30" s="121">
        <v>22423</v>
      </c>
      <c r="J30" s="75">
        <v>14337</v>
      </c>
      <c r="K30" s="75">
        <v>13849</v>
      </c>
      <c r="L30" s="75">
        <v>13174</v>
      </c>
      <c r="M30" s="75">
        <v>12433</v>
      </c>
      <c r="N30" s="75">
        <v>12671</v>
      </c>
      <c r="O30" s="75">
        <v>14606</v>
      </c>
      <c r="P30" s="75">
        <v>14209</v>
      </c>
      <c r="Q30" s="75">
        <v>14675</v>
      </c>
      <c r="R30" s="75">
        <v>16244</v>
      </c>
      <c r="S30" s="75">
        <v>16913</v>
      </c>
      <c r="T30" s="75">
        <v>17944</v>
      </c>
      <c r="U30" s="75">
        <v>19475</v>
      </c>
      <c r="V30" s="75">
        <v>23327</v>
      </c>
      <c r="W30" s="121">
        <v>22308</v>
      </c>
      <c r="X30" s="121">
        <v>22280</v>
      </c>
      <c r="Y30" s="75">
        <v>22943</v>
      </c>
      <c r="Z30" s="75">
        <v>22430</v>
      </c>
      <c r="AA30" s="121">
        <v>23447</v>
      </c>
      <c r="AB30" s="122">
        <v>24209</v>
      </c>
      <c r="AC30" s="121">
        <f t="shared" si="0"/>
        <v>3.249882714206498</v>
      </c>
      <c r="AD30" s="121">
        <f t="shared" si="1"/>
        <v>8.657989228007178</v>
      </c>
      <c r="AE30" s="19"/>
      <c r="AF30" s="121">
        <v>22280</v>
      </c>
      <c r="AG30" s="122">
        <f t="shared" si="2"/>
        <v>24209</v>
      </c>
      <c r="AH30" s="75">
        <f t="shared" si="3"/>
        <v>8.657989228007178</v>
      </c>
      <c r="AI30" s="121">
        <f t="shared" si="4"/>
        <v>22308</v>
      </c>
      <c r="AJ30" s="122">
        <f t="shared" si="5"/>
        <v>23447</v>
      </c>
      <c r="AK30" s="121">
        <f t="shared" si="6"/>
        <v>5.105791644253177</v>
      </c>
      <c r="AL30" s="18"/>
    </row>
    <row r="31" spans="1:38" ht="15">
      <c r="A31" s="91" t="s">
        <v>348</v>
      </c>
      <c r="C31" s="22"/>
      <c r="D31" s="75"/>
      <c r="H31" s="121"/>
      <c r="R31" s="121"/>
      <c r="S31" s="121"/>
      <c r="T31" s="121"/>
      <c r="U31" s="121"/>
      <c r="V31" s="121"/>
      <c r="W31" s="121"/>
      <c r="X31" s="121"/>
      <c r="Y31" s="121"/>
      <c r="AA31" s="165"/>
      <c r="AB31" s="489"/>
      <c r="AC31" s="121"/>
      <c r="AD31" s="121"/>
      <c r="AE31" s="19"/>
      <c r="AF31" s="121"/>
      <c r="AG31" s="122"/>
      <c r="AL31" s="18"/>
    </row>
    <row r="32" spans="2:38" ht="15">
      <c r="B32" s="22" t="s">
        <v>97</v>
      </c>
      <c r="C32" s="22"/>
      <c r="D32" s="75">
        <v>53527</v>
      </c>
      <c r="E32" s="75">
        <v>56712</v>
      </c>
      <c r="F32" s="75">
        <v>67439</v>
      </c>
      <c r="G32" s="75">
        <v>78756</v>
      </c>
      <c r="H32" s="121">
        <v>90503</v>
      </c>
      <c r="J32" s="75">
        <v>56469</v>
      </c>
      <c r="K32" s="75">
        <v>56448</v>
      </c>
      <c r="L32" s="75">
        <v>56556</v>
      </c>
      <c r="M32" s="75">
        <v>56712</v>
      </c>
      <c r="N32" s="75">
        <v>58238</v>
      </c>
      <c r="O32" s="75">
        <v>60852</v>
      </c>
      <c r="P32" s="75">
        <v>64908</v>
      </c>
      <c r="Q32" s="75">
        <v>67439</v>
      </c>
      <c r="R32" s="121">
        <v>69075</v>
      </c>
      <c r="S32" s="121">
        <v>72334</v>
      </c>
      <c r="T32" s="121">
        <v>74831</v>
      </c>
      <c r="U32" s="121">
        <v>78756</v>
      </c>
      <c r="V32" s="121">
        <v>81938</v>
      </c>
      <c r="W32" s="121">
        <v>84216</v>
      </c>
      <c r="X32" s="121">
        <v>87617</v>
      </c>
      <c r="Y32" s="121">
        <v>90503</v>
      </c>
      <c r="Z32" s="75">
        <v>95110</v>
      </c>
      <c r="AA32" s="121">
        <v>97779</v>
      </c>
      <c r="AB32" s="122">
        <v>98663</v>
      </c>
      <c r="AC32" s="121">
        <f>IF(AND(AB32=0,AB32=0),0,IF(OR(AND(AB32&gt;0,AA32&lt;=0),AND(AB32&lt;0,AA32&gt;=0)),"nm",IF(AND(AB32&lt;0,AA32&lt;0),IF(-(AB32/AA32-1)*100&lt;-100,"(&gt;100)",-(AB32/AA32-1)*100),IF((AB32/AA32-1)*100&gt;100,"&gt;100",(AB32/AA32-1)*100))))</f>
        <v>0.904079608095798</v>
      </c>
      <c r="AD32" s="121">
        <f>IF(AND(AB32=0,X32=0),0,IF(OR(AND(AB32&gt;0,X32&lt;=0),AND(AB32&lt;0,X32&gt;=0)),"nm",IF(AND(AB32&lt;0,X32&lt;0),IF(-(AB32/X32-1)*100&lt;-100,"(&gt;100)",-(AB32/X32-1)*100),IF((AB32/X32-1)*100&gt;100,"&gt;100",(AB32/X32-1)*100))))</f>
        <v>12.607142449524634</v>
      </c>
      <c r="AE32" s="19"/>
      <c r="AF32" s="121">
        <v>87617</v>
      </c>
      <c r="AG32" s="122">
        <f>AB32</f>
        <v>98663</v>
      </c>
      <c r="AH32" s="75">
        <f>IF(AND(AG32=0,AF32=0),0,IF(OR(AND(AG32&gt;0,AF32&lt;=0),AND(AG32&lt;0,AF32&gt;=0)),"nm",IF(AND(AG32&lt;0,AF32&lt;0),IF(-(AG32/AF32-1)*100&lt;-100,"(&gt;100)",-(AG32/AF32-1)*100),IF((AG32/AF32-1)*100&gt;100,"&gt;100",(AG32/AF32-1)*100))))</f>
        <v>12.607142449524634</v>
      </c>
      <c r="AI32" s="121">
        <f>W32</f>
        <v>84216</v>
      </c>
      <c r="AJ32" s="122">
        <f>+AA32</f>
        <v>97779</v>
      </c>
      <c r="AK32" s="121">
        <f>IF(AND(AJ32=0,AI32=0),0,IF(OR(AND(AJ32&gt;0,AI32&lt;=0),AND(AJ32&lt;0,AI32&gt;=0)),"nm",IF(AND(AJ32&lt;0,AI32&lt;0),IF(-(AJ32/AI32-1)*100&lt;-100,"(&gt;100)",-(AJ32/AI32-1)*100),IF((AJ32/AI32-1)*100&gt;100,"&gt;100",(AJ32/AI32-1)*100))))</f>
        <v>16.105015673981192</v>
      </c>
      <c r="AL32" s="18"/>
    </row>
    <row r="33" spans="2:38" ht="15">
      <c r="B33" s="22" t="s">
        <v>98</v>
      </c>
      <c r="C33" s="22"/>
      <c r="D33" s="75">
        <v>29347</v>
      </c>
      <c r="E33" s="75">
        <v>30274</v>
      </c>
      <c r="F33" s="75">
        <v>30478</v>
      </c>
      <c r="G33" s="75">
        <v>31511</v>
      </c>
      <c r="H33" s="121">
        <v>29443</v>
      </c>
      <c r="J33" s="75">
        <v>30272</v>
      </c>
      <c r="K33" s="75">
        <v>29141</v>
      </c>
      <c r="L33" s="75">
        <v>29042</v>
      </c>
      <c r="M33" s="75">
        <v>30274</v>
      </c>
      <c r="N33" s="75">
        <v>30876</v>
      </c>
      <c r="O33" s="75">
        <v>33073</v>
      </c>
      <c r="P33" s="75">
        <v>31789</v>
      </c>
      <c r="Q33" s="75">
        <v>30478</v>
      </c>
      <c r="R33" s="121">
        <v>30242</v>
      </c>
      <c r="S33" s="121">
        <v>29376</v>
      </c>
      <c r="T33" s="121">
        <v>31392</v>
      </c>
      <c r="U33" s="121">
        <v>31511</v>
      </c>
      <c r="V33" s="121">
        <v>29746</v>
      </c>
      <c r="W33" s="121">
        <v>30349</v>
      </c>
      <c r="X33" s="121">
        <v>29162</v>
      </c>
      <c r="Y33" s="121">
        <v>29443</v>
      </c>
      <c r="Z33" s="75">
        <v>29205</v>
      </c>
      <c r="AA33" s="121">
        <v>28811</v>
      </c>
      <c r="AB33" s="122">
        <v>29660</v>
      </c>
      <c r="AC33" s="121">
        <f>IF(AND(AB33=0,AB33=0),0,IF(OR(AND(AB33&gt;0,AA33&lt;=0),AND(AB33&lt;0,AA33&gt;=0)),"nm",IF(AND(AB33&lt;0,AA33&lt;0),IF(-(AB33/AA33-1)*100&lt;-100,"(&gt;100)",-(AB33/AA33-1)*100),IF((AB33/AA33-1)*100&gt;100,"&gt;100",(AB33/AA33-1)*100))))</f>
        <v>2.946791156155637</v>
      </c>
      <c r="AD33" s="121">
        <f>IF(AND(AB33=0,X33=0),0,IF(OR(AND(AB33&gt;0,X33&lt;=0),AND(AB33&lt;0,X33&gt;=0)),"nm",IF(AND(AB33&lt;0,X33&lt;0),IF(-(AB33/X33-1)*100&lt;-100,"(&gt;100)",-(AB33/X33-1)*100),IF((AB33/X33-1)*100&gt;100,"&gt;100",(AB33/X33-1)*100))))</f>
        <v>1.7077018037171765</v>
      </c>
      <c r="AE33" s="19"/>
      <c r="AF33" s="121">
        <v>29162</v>
      </c>
      <c r="AG33" s="122">
        <f>AB33</f>
        <v>29660</v>
      </c>
      <c r="AH33" s="75">
        <f>IF(AND(AG33=0,AF33=0),0,IF(OR(AND(AG33&gt;0,AF33&lt;=0),AND(AG33&lt;0,AF33&gt;=0)),"nm",IF(AND(AG33&lt;0,AF33&lt;0),IF(-(AG33/AF33-1)*100&lt;-100,"(&gt;100)",-(AG33/AF33-1)*100),IF((AG33/AF33-1)*100&gt;100,"&gt;100",(AG33/AF33-1)*100))))</f>
        <v>1.7077018037171765</v>
      </c>
      <c r="AI33" s="121">
        <f>W33</f>
        <v>30349</v>
      </c>
      <c r="AJ33" s="122">
        <f>+AA33</f>
        <v>28811</v>
      </c>
      <c r="AK33" s="121">
        <f>IF(AND(AJ33=0,AI33=0),0,IF(OR(AND(AJ33&gt;0,AI33&lt;=0),AND(AJ33&lt;0,AI33&gt;=0)),"nm",IF(AND(AJ33&lt;0,AI33&lt;0),IF(-(AJ33/AI33-1)*100&lt;-100,"(&gt;100)",-(AJ33/AI33-1)*100),IF((AJ33/AI33-1)*100&gt;100,"&gt;100",(AJ33/AI33-1)*100))))</f>
        <v>-5.067712280470527</v>
      </c>
      <c r="AL33" s="18"/>
    </row>
    <row r="34" spans="2:38" ht="15">
      <c r="B34" s="22" t="s">
        <v>99</v>
      </c>
      <c r="C34" s="22"/>
      <c r="D34" s="75">
        <v>28123</v>
      </c>
      <c r="E34" s="75">
        <v>29449</v>
      </c>
      <c r="F34" s="75">
        <v>38094</v>
      </c>
      <c r="G34" s="75">
        <v>61007</v>
      </c>
      <c r="H34" s="121">
        <v>67156</v>
      </c>
      <c r="J34" s="75">
        <v>29194</v>
      </c>
      <c r="K34" s="75">
        <v>28076</v>
      </c>
      <c r="L34" s="75">
        <v>27773</v>
      </c>
      <c r="M34" s="75">
        <v>29449</v>
      </c>
      <c r="N34" s="75">
        <v>31047</v>
      </c>
      <c r="O34" s="75">
        <v>36355</v>
      </c>
      <c r="P34" s="75">
        <v>35755</v>
      </c>
      <c r="Q34" s="75">
        <v>38094</v>
      </c>
      <c r="R34" s="121">
        <v>41493</v>
      </c>
      <c r="S34" s="121">
        <v>49309</v>
      </c>
      <c r="T34" s="121">
        <v>58027</v>
      </c>
      <c r="U34" s="121">
        <v>61007</v>
      </c>
      <c r="V34" s="121">
        <v>61692</v>
      </c>
      <c r="W34" s="121">
        <v>65652</v>
      </c>
      <c r="X34" s="121">
        <v>62254</v>
      </c>
      <c r="Y34" s="121">
        <v>67156</v>
      </c>
      <c r="Z34" s="75">
        <v>73993</v>
      </c>
      <c r="AA34" s="121">
        <v>80146</v>
      </c>
      <c r="AB34" s="122">
        <v>82354</v>
      </c>
      <c r="AC34" s="121">
        <f>IF(AND(AB34=0,AB34=0),0,IF(OR(AND(AB34&gt;0,AA34&lt;=0),AND(AB34&lt;0,AA34&gt;=0)),"nm",IF(AND(AB34&lt;0,AA34&lt;0),IF(-(AB34/AA34-1)*100&lt;-100,"(&gt;100)",-(AB34/AA34-1)*100),IF((AB34/AA34-1)*100&gt;100,"&gt;100",(AB34/AA34-1)*100))))</f>
        <v>2.7549721757792023</v>
      </c>
      <c r="AD34" s="121">
        <f>IF(AND(AB34=0,X34=0),0,IF(OR(AND(AB34&gt;0,X34&lt;=0),AND(AB34&lt;0,X34&gt;=0)),"nm",IF(AND(AB34&lt;0,X34&lt;0),IF(-(AB34/X34-1)*100&lt;-100,"(&gt;100)",-(AB34/X34-1)*100),IF((AB34/X34-1)*100&gt;100,"&gt;100",(AB34/X34-1)*100))))</f>
        <v>32.287081954573196</v>
      </c>
      <c r="AE34" s="19"/>
      <c r="AF34" s="121">
        <v>62254</v>
      </c>
      <c r="AG34" s="122">
        <f>AB34</f>
        <v>82354</v>
      </c>
      <c r="AH34" s="75">
        <f>IF(AND(AG34=0,AF34=0),0,IF(OR(AND(AG34&gt;0,AF34&lt;=0),AND(AG34&lt;0,AF34&gt;=0)),"nm",IF(AND(AG34&lt;0,AF34&lt;0),IF(-(AG34/AF34-1)*100&lt;-100,"(&gt;100)",-(AG34/AF34-1)*100),IF((AG34/AF34-1)*100&gt;100,"&gt;100",(AG34/AF34-1)*100))))</f>
        <v>32.287081954573196</v>
      </c>
      <c r="AI34" s="121">
        <f>W34</f>
        <v>65652</v>
      </c>
      <c r="AJ34" s="122">
        <f>+AA34</f>
        <v>80146</v>
      </c>
      <c r="AK34" s="121">
        <f>IF(AND(AJ34=0,AI34=0),0,IF(OR(AND(AJ34&gt;0,AI34&lt;=0),AND(AJ34&lt;0,AI34&gt;=0)),"nm",IF(AND(AJ34&lt;0,AI34&lt;0),IF(-(AJ34/AI34-1)*100&lt;-100,"(&gt;100)",-(AJ34/AI34-1)*100),IF((AJ34/AI34-1)*100&gt;100,"&gt;100",(AJ34/AI34-1)*100))))</f>
        <v>22.077012124535432</v>
      </c>
      <c r="AL34" s="18"/>
    </row>
    <row r="35" spans="2:38" ht="15">
      <c r="B35" s="22" t="s">
        <v>35</v>
      </c>
      <c r="C35" s="22"/>
      <c r="D35" s="75">
        <v>17368</v>
      </c>
      <c r="E35" s="75">
        <v>16985</v>
      </c>
      <c r="F35" s="75">
        <v>18711</v>
      </c>
      <c r="G35" s="75">
        <v>26553</v>
      </c>
      <c r="H35" s="121">
        <v>26726</v>
      </c>
      <c r="J35" s="75">
        <v>16849</v>
      </c>
      <c r="K35" s="75">
        <v>16741</v>
      </c>
      <c r="L35" s="75">
        <v>17492</v>
      </c>
      <c r="M35" s="75">
        <v>16985</v>
      </c>
      <c r="N35" s="75">
        <v>16834</v>
      </c>
      <c r="O35" s="75">
        <v>18868</v>
      </c>
      <c r="P35" s="75">
        <v>18082</v>
      </c>
      <c r="Q35" s="75">
        <v>18711</v>
      </c>
      <c r="R35" s="121">
        <v>19291</v>
      </c>
      <c r="S35" s="121">
        <v>20438</v>
      </c>
      <c r="T35" s="121">
        <v>24286</v>
      </c>
      <c r="U35" s="121">
        <v>26553</v>
      </c>
      <c r="V35" s="121">
        <v>27369</v>
      </c>
      <c r="W35" s="121">
        <v>28238</v>
      </c>
      <c r="X35" s="121">
        <v>26702</v>
      </c>
      <c r="Y35" s="121">
        <v>26726</v>
      </c>
      <c r="Z35" s="75">
        <v>28721</v>
      </c>
      <c r="AA35" s="121">
        <v>31657</v>
      </c>
      <c r="AB35" s="122">
        <v>34603</v>
      </c>
      <c r="AC35" s="121">
        <f>IF(AND(AB35=0,AB35=0),0,IF(OR(AND(AB35&gt;0,AA35&lt;=0),AND(AB35&lt;0,AA35&gt;=0)),"nm",IF(AND(AB35&lt;0,AA35&lt;0),IF(-(AB35/AA35-1)*100&lt;-100,"(&gt;100)",-(AB35/AA35-1)*100),IF((AB35/AA35-1)*100&gt;100,"&gt;100",(AB35/AA35-1)*100))))</f>
        <v>9.305998673279214</v>
      </c>
      <c r="AD35" s="121">
        <f>IF(AND(AB35=0,X35=0),0,IF(OR(AND(AB35&gt;0,X35&lt;=0),AND(AB35&lt;0,X35&gt;=0)),"nm",IF(AND(AB35&lt;0,X35&lt;0),IF(-(AB35/X35-1)*100&lt;-100,"(&gt;100)",-(AB35/X35-1)*100),IF((AB35/X35-1)*100&gt;100,"&gt;100",(AB35/X35-1)*100))))</f>
        <v>29.589543854392918</v>
      </c>
      <c r="AE35" s="19"/>
      <c r="AF35" s="121">
        <v>26702</v>
      </c>
      <c r="AG35" s="122">
        <f>AB35</f>
        <v>34603</v>
      </c>
      <c r="AH35" s="75">
        <f>IF(AND(AG35=0,AF35=0),0,IF(OR(AND(AG35&gt;0,AF35&lt;=0),AND(AG35&lt;0,AF35&gt;=0)),"nm",IF(AND(AG35&lt;0,AF35&lt;0),IF(-(AG35/AF35-1)*100&lt;-100,"(&gt;100)",-(AG35/AF35-1)*100),IF((AG35/AF35-1)*100&gt;100,"&gt;100",(AG35/AF35-1)*100))))</f>
        <v>29.589543854392918</v>
      </c>
      <c r="AI35" s="121">
        <f>W35</f>
        <v>28238</v>
      </c>
      <c r="AJ35" s="122">
        <f>+AA35</f>
        <v>31657</v>
      </c>
      <c r="AK35" s="121">
        <f>IF(AND(AJ35=0,AI35=0),0,IF(OR(AND(AJ35&gt;0,AI35&lt;=0),AND(AJ35&lt;0,AI35&gt;=0)),"nm",IF(AND(AJ35&lt;0,AI35&lt;0),IF(-(AJ35/AI35-1)*100&lt;-100,"(&gt;100)",-(AJ35/AI35-1)*100),IF((AJ35/AI35-1)*100&gt;100,"&gt;100",(AJ35/AI35-1)*100))))</f>
        <v>12.107798002691418</v>
      </c>
      <c r="AL35" s="18"/>
    </row>
    <row r="36" spans="8:33" ht="14.25">
      <c r="H36" s="121"/>
      <c r="R36" s="121"/>
      <c r="S36" s="121"/>
      <c r="T36" s="121"/>
      <c r="U36" s="121"/>
      <c r="V36" s="121"/>
      <c r="W36" s="121"/>
      <c r="X36" s="121"/>
      <c r="Y36" s="121"/>
      <c r="AB36" s="122"/>
      <c r="AC36" s="121"/>
      <c r="AD36" s="121"/>
      <c r="AE36" s="19"/>
      <c r="AF36" s="121"/>
      <c r="AG36" s="122"/>
    </row>
    <row r="37" spans="8:33" ht="14.25">
      <c r="H37" s="121"/>
      <c r="R37" s="121"/>
      <c r="S37" s="121"/>
      <c r="T37" s="121"/>
      <c r="U37" s="121"/>
      <c r="V37" s="121"/>
      <c r="W37" s="121"/>
      <c r="X37" s="121"/>
      <c r="Y37" s="121"/>
      <c r="AB37" s="489"/>
      <c r="AC37" s="121"/>
      <c r="AD37" s="121"/>
      <c r="AE37" s="19"/>
      <c r="AF37" s="121"/>
      <c r="AG37" s="122"/>
    </row>
    <row r="38" spans="8:33" ht="14.25">
      <c r="H38" s="121"/>
      <c r="R38" s="121"/>
      <c r="S38" s="121"/>
      <c r="T38" s="121"/>
      <c r="U38" s="121"/>
      <c r="V38" s="121"/>
      <c r="W38" s="121"/>
      <c r="X38" s="121"/>
      <c r="Y38" s="121"/>
      <c r="Z38" s="121"/>
      <c r="AA38" s="121"/>
      <c r="AB38" s="122"/>
      <c r="AC38" s="121"/>
      <c r="AD38" s="121"/>
      <c r="AE38" s="19"/>
      <c r="AF38" s="121"/>
      <c r="AG38" s="489"/>
    </row>
    <row r="39" spans="18:33" ht="14.25">
      <c r="R39" s="121"/>
      <c r="S39" s="121"/>
      <c r="T39" s="121"/>
      <c r="U39" s="121"/>
      <c r="V39" s="121"/>
      <c r="W39" s="121"/>
      <c r="X39" s="121"/>
      <c r="Y39" s="121"/>
      <c r="Z39" s="121"/>
      <c r="AA39" s="121"/>
      <c r="AB39" s="122"/>
      <c r="AC39" s="121"/>
      <c r="AD39" s="121"/>
      <c r="AE39" s="19"/>
      <c r="AF39" s="121"/>
      <c r="AG39" s="489"/>
    </row>
    <row r="46" ht="14.25">
      <c r="B46" s="429" t="s">
        <v>407</v>
      </c>
    </row>
    <row r="47" ht="14.25">
      <c r="B47" s="429" t="s">
        <v>410</v>
      </c>
    </row>
  </sheetData>
  <sheetProtection/>
  <mergeCells count="1">
    <mergeCell ref="A2:C2"/>
  </mergeCells>
  <hyperlinks>
    <hyperlink ref="A2" location="Index!A1" display="Back to Index"/>
  </hyperlinks>
  <printOptions gridLines="1"/>
  <pageMargins left="0.49" right="0.25" top="1" bottom="1" header="0" footer="0"/>
  <pageSetup fitToHeight="1" fitToWidth="1" horizontalDpi="600" verticalDpi="600" orientation="portrait" paperSize="9" scale="69"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sheetPr>
  <dimension ref="A1:AK31"/>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N21" sqref="AN21"/>
    </sheetView>
  </sheetViews>
  <sheetFormatPr defaultColWidth="9.140625" defaultRowHeight="12.75" outlineLevelCol="1"/>
  <cols>
    <col min="1" max="1" width="2.28125" style="22" customWidth="1"/>
    <col min="2" max="2" width="2.8515625" style="22" customWidth="1"/>
    <col min="3" max="3" width="53.8515625" style="10" customWidth="1"/>
    <col min="4" max="4" width="9.140625" style="76" hidden="1" customWidth="1" outlineLevel="1"/>
    <col min="5" max="8" width="9.140625" style="75" hidden="1" customWidth="1" outlineLevel="1"/>
    <col min="9" max="9" width="4.00390625" style="75" hidden="1" customWidth="1" outlineLevel="1"/>
    <col min="10" max="17" width="9.140625" style="75" hidden="1" customWidth="1" outlineLevel="1"/>
    <col min="18" max="19" width="9.140625" style="75" hidden="1" customWidth="1" outlineLevel="1" collapsed="1"/>
    <col min="20" max="21" width="9.140625" style="75" hidden="1" customWidth="1" outlineLevel="1"/>
    <col min="22" max="22" width="9.140625" style="75" customWidth="1" collapsed="1"/>
    <col min="23" max="27" width="9.140625" style="75" customWidth="1"/>
    <col min="28" max="28" width="9.140625" style="119" customWidth="1"/>
    <col min="29" max="29" width="9.140625" style="132" customWidth="1"/>
    <col min="30" max="30" width="9.140625" style="75" customWidth="1"/>
    <col min="31" max="31" width="3.00390625" style="21" customWidth="1"/>
    <col min="32" max="32" width="8.57421875" style="75" customWidth="1"/>
    <col min="33" max="33" width="8.57421875" style="119" customWidth="1"/>
    <col min="34" max="34" width="8.7109375" style="132" customWidth="1"/>
    <col min="35" max="35" width="8.57421875" style="121" hidden="1" customWidth="1"/>
    <col min="36" max="36" width="8.57421875" style="122" hidden="1" customWidth="1"/>
    <col min="37" max="37" width="8.7109375" style="139" hidden="1" customWidth="1"/>
    <col min="38" max="16384" width="9.140625" style="22" customWidth="1"/>
  </cols>
  <sheetData>
    <row r="1" spans="1:37" s="42" customFormat="1" ht="20.25">
      <c r="A1" s="41" t="s">
        <v>135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3"/>
      <c r="AF1" s="124"/>
      <c r="AG1" s="124"/>
      <c r="AH1" s="124"/>
      <c r="AI1" s="124"/>
      <c r="AJ1" s="124"/>
      <c r="AK1" s="124"/>
    </row>
    <row r="2" spans="1:37" s="44" customFormat="1" ht="45">
      <c r="A2" s="590" t="s">
        <v>80</v>
      </c>
      <c r="B2" s="590"/>
      <c r="C2" s="590"/>
      <c r="D2" s="74" t="s">
        <v>60</v>
      </c>
      <c r="E2" s="74" t="s">
        <v>231</v>
      </c>
      <c r="F2" s="74" t="s">
        <v>346</v>
      </c>
      <c r="G2" s="74" t="s">
        <v>362</v>
      </c>
      <c r="H2" s="74" t="s">
        <v>383</v>
      </c>
      <c r="I2" s="74"/>
      <c r="J2" s="74" t="s">
        <v>2</v>
      </c>
      <c r="K2" s="74" t="s">
        <v>3</v>
      </c>
      <c r="L2" s="74" t="s">
        <v>4</v>
      </c>
      <c r="M2" s="74" t="s">
        <v>230</v>
      </c>
      <c r="N2" s="74" t="s">
        <v>330</v>
      </c>
      <c r="O2" s="74" t="s">
        <v>334</v>
      </c>
      <c r="P2" s="74" t="s">
        <v>341</v>
      </c>
      <c r="Q2" s="74" t="s">
        <v>345</v>
      </c>
      <c r="R2" s="285" t="s">
        <v>349</v>
      </c>
      <c r="S2" s="285" t="s">
        <v>353</v>
      </c>
      <c r="T2" s="285" t="s">
        <v>357</v>
      </c>
      <c r="U2" s="285" t="s">
        <v>361</v>
      </c>
      <c r="V2" s="285" t="s">
        <v>363</v>
      </c>
      <c r="W2" s="285" t="s">
        <v>374</v>
      </c>
      <c r="X2" s="285" t="s">
        <v>380</v>
      </c>
      <c r="Y2" s="285" t="s">
        <v>384</v>
      </c>
      <c r="Z2" s="285" t="s">
        <v>387</v>
      </c>
      <c r="AA2" s="285" t="s">
        <v>411</v>
      </c>
      <c r="AB2" s="285" t="s">
        <v>431</v>
      </c>
      <c r="AC2" s="285" t="str">
        <f>+'7.Loans'!AC2</f>
        <v>3Q13
vs 
2Q13</v>
      </c>
      <c r="AD2" s="285" t="str">
        <f>+'7.Loans'!AD2</f>
        <v>3Q13
vs 
3Q12</v>
      </c>
      <c r="AF2" s="74" t="s">
        <v>442</v>
      </c>
      <c r="AG2" s="74" t="s">
        <v>443</v>
      </c>
      <c r="AH2" s="285" t="s">
        <v>444</v>
      </c>
      <c r="AI2" s="285" t="str">
        <f>+'7.Loans'!AI2</f>
        <v>1H12</v>
      </c>
      <c r="AJ2" s="285" t="str">
        <f>+'7.Loans'!AJ2</f>
        <v>1H13</v>
      </c>
      <c r="AK2" s="285" t="str">
        <f>+'7.Loans'!AK2</f>
        <v>1H13
vs 
1H12</v>
      </c>
    </row>
    <row r="3" spans="1:37" s="24" customFormat="1" ht="9" customHeight="1">
      <c r="A3" s="9"/>
      <c r="D3" s="8"/>
      <c r="E3" s="17"/>
      <c r="F3" s="17"/>
      <c r="G3" s="17"/>
      <c r="H3" s="17"/>
      <c r="I3" s="17"/>
      <c r="J3" s="17"/>
      <c r="K3" s="17"/>
      <c r="L3" s="17"/>
      <c r="M3" s="17"/>
      <c r="N3" s="17"/>
      <c r="O3" s="17"/>
      <c r="P3" s="17"/>
      <c r="Q3" s="17"/>
      <c r="R3" s="17"/>
      <c r="S3" s="17"/>
      <c r="T3" s="17"/>
      <c r="U3" s="17"/>
      <c r="V3" s="17"/>
      <c r="W3" s="17"/>
      <c r="X3" s="17"/>
      <c r="Y3" s="17"/>
      <c r="Z3" s="17"/>
      <c r="AA3" s="17"/>
      <c r="AB3" s="125"/>
      <c r="AC3" s="133"/>
      <c r="AD3" s="17"/>
      <c r="AF3" s="17"/>
      <c r="AG3" s="125"/>
      <c r="AH3" s="133"/>
      <c r="AI3" s="17"/>
      <c r="AJ3" s="125"/>
      <c r="AK3" s="133"/>
    </row>
    <row r="4" spans="1:37" s="24" customFormat="1" ht="14.25" customHeight="1">
      <c r="A4" s="47" t="s">
        <v>217</v>
      </c>
      <c r="D4" s="8"/>
      <c r="E4" s="17"/>
      <c r="F4" s="17"/>
      <c r="G4" s="17"/>
      <c r="H4" s="17"/>
      <c r="I4" s="17"/>
      <c r="J4" s="17"/>
      <c r="K4" s="17"/>
      <c r="L4" s="17"/>
      <c r="M4" s="17"/>
      <c r="N4" s="17"/>
      <c r="O4" s="17"/>
      <c r="P4" s="17"/>
      <c r="Q4" s="17"/>
      <c r="R4" s="17"/>
      <c r="S4" s="17"/>
      <c r="T4" s="17"/>
      <c r="U4" s="17"/>
      <c r="V4" s="17"/>
      <c r="W4" s="17"/>
      <c r="X4" s="17"/>
      <c r="Y4" s="17"/>
      <c r="Z4" s="17"/>
      <c r="AA4" s="17"/>
      <c r="AB4" s="125"/>
      <c r="AC4" s="133"/>
      <c r="AD4" s="17"/>
      <c r="AF4" s="17"/>
      <c r="AG4" s="498"/>
      <c r="AH4" s="133"/>
      <c r="AI4" s="17"/>
      <c r="AJ4" s="125"/>
      <c r="AK4" s="133"/>
    </row>
    <row r="5" spans="2:37" s="18" customFormat="1" ht="15">
      <c r="B5" s="18" t="s">
        <v>199</v>
      </c>
      <c r="D5" s="17">
        <v>29413</v>
      </c>
      <c r="E5" s="17">
        <v>33921</v>
      </c>
      <c r="F5" s="17">
        <v>29141</v>
      </c>
      <c r="G5" s="17">
        <v>31712</v>
      </c>
      <c r="H5" s="17">
        <v>35832</v>
      </c>
      <c r="I5" s="17"/>
      <c r="J5" s="17">
        <v>30954</v>
      </c>
      <c r="K5" s="17">
        <v>33125</v>
      </c>
      <c r="L5" s="17">
        <v>31314</v>
      </c>
      <c r="M5" s="17">
        <v>33921</v>
      </c>
      <c r="N5" s="17">
        <v>27752</v>
      </c>
      <c r="O5" s="17">
        <v>31505</v>
      </c>
      <c r="P5" s="17">
        <v>29436</v>
      </c>
      <c r="Q5" s="17">
        <v>29141</v>
      </c>
      <c r="R5" s="17">
        <v>29734</v>
      </c>
      <c r="S5" s="17">
        <v>31448</v>
      </c>
      <c r="T5" s="17">
        <v>30364</v>
      </c>
      <c r="U5" s="17">
        <v>31711</v>
      </c>
      <c r="V5" s="17">
        <v>34619</v>
      </c>
      <c r="W5" s="17">
        <v>34955</v>
      </c>
      <c r="X5" s="17">
        <v>33940</v>
      </c>
      <c r="Y5" s="17">
        <v>35832</v>
      </c>
      <c r="Z5" s="17">
        <f>SUM(Z6:Z9)</f>
        <v>38696</v>
      </c>
      <c r="AA5" s="17">
        <f>SUM(AA6:AA9)</f>
        <v>39287</v>
      </c>
      <c r="AB5" s="125">
        <f>SUM(AB6:AB9)</f>
        <v>35093</v>
      </c>
      <c r="AC5" s="133">
        <f>IF(AND(AB5=0,AB5=0),0,IF(OR(AND(AB5&gt;0,AA5&lt;=0),AND(AB5&lt;0,AA5&gt;=0)),"nm",IF(AND(AB5&lt;0,AA5&lt;0),IF(-(AB5/AA5-1)*100&lt;-100,"(&gt;100)",-(AB5/AA5-1)*100),IF((AB5/AA5-1)*100&gt;100,"&gt;100",(AB5/AA5-1)*100))))</f>
        <v>-10.67528699060758</v>
      </c>
      <c r="AD5" s="133">
        <f>IF(AND(AB5=0,X5=0),0,IF(OR(AND(AB5&gt;0,X5&lt;=0),AND(AB5&lt;0,X5&gt;=0)),"nm",IF(AND(AB5&lt;0,X5&lt;0),IF(-(AB5/X5-1)*100&lt;-100,"(&gt;100)",-(AB5/X5-1)*100),IF((AB5/X5-1)*100&gt;100,"&gt;100",(AB5/X5-1)*100))))</f>
        <v>3.3971714790807406</v>
      </c>
      <c r="AE5" s="15"/>
      <c r="AF5" s="17">
        <v>33940</v>
      </c>
      <c r="AG5" s="125">
        <f>SUM(AG6:AG9)</f>
        <v>35093</v>
      </c>
      <c r="AH5" s="139">
        <f>IF(AND(AG5=0,AF5=0),0,IF(OR(AND(AG5&gt;0,AF5&lt;=0),AND(AG5&lt;0,AF5&gt;=0)),"nm",IF(AND(AG5&lt;0,AF5&lt;0),IF(-(AG5/AF5-1)*100&lt;-100,"(&gt;100)",-(AG5/AF5-1)*100),IF((AG5/AF5-1)*100&gt;100,"&gt;100",(AG5/AF5-1)*100))))</f>
        <v>3.3971714790807406</v>
      </c>
      <c r="AI5" s="17">
        <f>W5</f>
        <v>34955</v>
      </c>
      <c r="AJ5" s="125">
        <f>AA5</f>
        <v>39287</v>
      </c>
      <c r="AK5" s="133">
        <f>IF(AND(AJ5=0,AI5=0),0,IF(OR(AND(AJ5&gt;0,AI5&lt;=0),AND(AJ5&lt;0,AI5&gt;=0)),"nm",IF(AND(AJ5&lt;0,AI5&lt;0),IF(-(AJ5/AI5-1)*100&lt;-100,"(&gt;100)",-(AJ5/AI5-1)*100),IF((AJ5/AI5-1)*100&gt;100,"&gt;100",(AJ5/AI5-1)*100))))</f>
        <v>12.393076813045333</v>
      </c>
    </row>
    <row r="6" spans="3:37" ht="14.25">
      <c r="C6" s="36" t="s">
        <v>136</v>
      </c>
      <c r="D6" s="75">
        <v>11734</v>
      </c>
      <c r="E6" s="75">
        <v>13245</v>
      </c>
      <c r="F6" s="75">
        <v>9731</v>
      </c>
      <c r="G6" s="121">
        <v>10465</v>
      </c>
      <c r="H6" s="121">
        <v>9818</v>
      </c>
      <c r="J6" s="75">
        <v>11180</v>
      </c>
      <c r="K6" s="75">
        <v>12805</v>
      </c>
      <c r="L6" s="75">
        <v>11964</v>
      </c>
      <c r="M6" s="75">
        <v>13245</v>
      </c>
      <c r="N6" s="75">
        <v>9461</v>
      </c>
      <c r="O6" s="75">
        <v>10087</v>
      </c>
      <c r="P6" s="75">
        <v>10108</v>
      </c>
      <c r="Q6" s="75">
        <v>9731</v>
      </c>
      <c r="R6" s="75">
        <v>10308</v>
      </c>
      <c r="S6" s="75">
        <v>11371</v>
      </c>
      <c r="T6" s="75">
        <v>10745</v>
      </c>
      <c r="U6" s="75">
        <v>10464</v>
      </c>
      <c r="V6" s="121">
        <v>10733</v>
      </c>
      <c r="W6" s="121">
        <v>9952</v>
      </c>
      <c r="X6" s="121">
        <v>10007</v>
      </c>
      <c r="Y6" s="121">
        <v>9818</v>
      </c>
      <c r="Z6" s="121">
        <v>10280</v>
      </c>
      <c r="AA6" s="121">
        <f>AJ6</f>
        <v>9603</v>
      </c>
      <c r="AB6" s="122">
        <f>AG6</f>
        <v>8213</v>
      </c>
      <c r="AC6" s="139">
        <f>IF(AND(AB6=0,AB6=0),0,IF(OR(AND(AB6&gt;0,AA6&lt;=0),AND(AB6&lt;0,AA6&gt;=0)),"nm",IF(AND(AB6&lt;0,AA6&lt;0),IF(-(AB6/AA6-1)*100&lt;-100,"(&gt;100)",-(AB6/AA6-1)*100),IF((AB6/AA6-1)*100&gt;100,"&gt;100",(AB6/AA6-1)*100))))</f>
        <v>-14.474643340622716</v>
      </c>
      <c r="AD6" s="139">
        <f>IF(AND(AB6=0,X6=0),0,IF(OR(AND(AB6&gt;0,X6&lt;=0),AND(AB6&lt;0,X6&gt;=0)),"nm",IF(AND(AB6&lt;0,X6&lt;0),IF(-(AB6/X6-1)*100&lt;-100,"(&gt;100)",-(AB6/X6-1)*100),IF((AB6/X6-1)*100&gt;100,"&gt;100",(AB6/X6-1)*100))))</f>
        <v>-17.927450784450883</v>
      </c>
      <c r="AE6" s="19"/>
      <c r="AF6" s="121">
        <v>10007</v>
      </c>
      <c r="AG6" s="122">
        <v>8213</v>
      </c>
      <c r="AH6" s="139">
        <f>IF(AND(AG6=0,AF6=0),0,IF(OR(AND(AG6&gt;0,AF6&lt;=0),AND(AG6&lt;0,AF6&gt;=0)),"nm",IF(AND(AG6&lt;0,AF6&lt;0),IF(-(AG6/AF6-1)*100&lt;-100,"(&gt;100)",-(AG6/AF6-1)*100),IF((AG6/AF6-1)*100&gt;100,"&gt;100",(AG6/AF6-1)*100))))</f>
        <v>-17.927450784450883</v>
      </c>
      <c r="AI6" s="121">
        <f>W6</f>
        <v>9952</v>
      </c>
      <c r="AJ6" s="122">
        <v>9603</v>
      </c>
      <c r="AK6" s="139">
        <f>IF(AND(AJ6=0,AI6=0),0,IF(OR(AND(AJ6&gt;0,AI6&lt;=0),AND(AJ6&lt;0,AI6&gt;=0)),"nm",IF(AND(AJ6&lt;0,AI6&lt;0),IF(-(AJ6/AI6-1)*100&lt;-100,"(&gt;100)",-(AJ6/AI6-1)*100),IF((AJ6/AI6-1)*100&gt;100,"&gt;100",(AJ6/AI6-1)*100))))</f>
        <v>-3.5068327974276503</v>
      </c>
    </row>
    <row r="7" spans="3:37" ht="14.25">
      <c r="C7" s="36" t="s">
        <v>137</v>
      </c>
      <c r="D7" s="75">
        <v>4549</v>
      </c>
      <c r="E7" s="75">
        <v>7539</v>
      </c>
      <c r="F7" s="75">
        <v>8345</v>
      </c>
      <c r="G7" s="121">
        <v>9616</v>
      </c>
      <c r="H7" s="121">
        <v>15927</v>
      </c>
      <c r="J7" s="75">
        <v>6343</v>
      </c>
      <c r="K7" s="75">
        <v>6650</v>
      </c>
      <c r="L7" s="75">
        <v>5863</v>
      </c>
      <c r="M7" s="75">
        <v>7539</v>
      </c>
      <c r="N7" s="75">
        <v>7160</v>
      </c>
      <c r="O7" s="75">
        <v>10351</v>
      </c>
      <c r="P7" s="75">
        <v>7411</v>
      </c>
      <c r="Q7" s="75">
        <v>8345</v>
      </c>
      <c r="R7" s="75">
        <v>8061</v>
      </c>
      <c r="S7" s="75">
        <v>8530</v>
      </c>
      <c r="T7" s="75">
        <v>7945</v>
      </c>
      <c r="U7" s="75">
        <v>9616</v>
      </c>
      <c r="V7" s="121">
        <v>11858</v>
      </c>
      <c r="W7" s="121">
        <v>12615</v>
      </c>
      <c r="X7" s="121">
        <v>12175</v>
      </c>
      <c r="Y7" s="121">
        <v>15927</v>
      </c>
      <c r="Z7" s="121">
        <v>16690</v>
      </c>
      <c r="AA7" s="121">
        <f>AJ7</f>
        <v>14739</v>
      </c>
      <c r="AB7" s="122">
        <f>AG7</f>
        <v>14003</v>
      </c>
      <c r="AC7" s="139">
        <f>IF(AND(AB7=0,AB7=0),0,IF(OR(AND(AB7&gt;0,AA7&lt;=0),AND(AB7&lt;0,AA7&gt;=0)),"nm",IF(AND(AB7&lt;0,AA7&lt;0),IF(-(AB7/AA7-1)*100&lt;-100,"(&gt;100)",-(AB7/AA7-1)*100),IF((AB7/AA7-1)*100&gt;100,"&gt;100",(AB7/AA7-1)*100))))</f>
        <v>-4.993554515231702</v>
      </c>
      <c r="AD7" s="139">
        <f>IF(AND(AB7=0,X7=0),0,IF(OR(AND(AB7&gt;0,X7&lt;=0),AND(AB7&lt;0,X7&gt;=0)),"nm",IF(AND(AB7&lt;0,X7&lt;0),IF(-(AB7/X7-1)*100&lt;-100,"(&gt;100)",-(AB7/X7-1)*100),IF((AB7/X7-1)*100&gt;100,"&gt;100",(AB7/X7-1)*100))))</f>
        <v>15.014373716632434</v>
      </c>
      <c r="AE7" s="19"/>
      <c r="AF7" s="121">
        <v>12175</v>
      </c>
      <c r="AG7" s="122">
        <v>14003</v>
      </c>
      <c r="AH7" s="139">
        <f>IF(AND(AG7=0,AF7=0),0,IF(OR(AND(AG7&gt;0,AF7&lt;=0),AND(AG7&lt;0,AF7&gt;=0)),"nm",IF(AND(AG7&lt;0,AF7&lt;0),IF(-(AG7/AF7-1)*100&lt;-100,"(&gt;100)",-(AG7/AF7-1)*100),IF((AG7/AF7-1)*100&gt;100,"&gt;100",(AG7/AF7-1)*100))))</f>
        <v>15.014373716632434</v>
      </c>
      <c r="AI7" s="121">
        <f>W7</f>
        <v>12615</v>
      </c>
      <c r="AJ7" s="122">
        <v>14739</v>
      </c>
      <c r="AK7" s="139">
        <f>IF(AND(AJ7=0,AI7=0),0,IF(OR(AND(AJ7&gt;0,AI7&lt;=0),AND(AJ7&lt;0,AI7&gt;=0)),"nm",IF(AND(AJ7&lt;0,AI7&lt;0),IF(-(AJ7/AI7-1)*100&lt;-100,"(&gt;100)",-(AJ7/AI7-1)*100),IF((AJ7/AI7-1)*100&gt;100,"&gt;100",(AJ7/AI7-1)*100))))</f>
        <v>16.837098692033294</v>
      </c>
    </row>
    <row r="8" spans="3:37" ht="14.25">
      <c r="C8" s="36" t="s">
        <v>138</v>
      </c>
      <c r="D8" s="75">
        <v>11986</v>
      </c>
      <c r="E8" s="75">
        <v>12121</v>
      </c>
      <c r="F8" s="75">
        <v>9922</v>
      </c>
      <c r="G8" s="121">
        <v>10474</v>
      </c>
      <c r="H8" s="121">
        <v>8988</v>
      </c>
      <c r="J8" s="75">
        <v>12350</v>
      </c>
      <c r="K8" s="75">
        <v>12805</v>
      </c>
      <c r="L8" s="75">
        <v>12569</v>
      </c>
      <c r="M8" s="75">
        <v>12121</v>
      </c>
      <c r="N8" s="75">
        <v>10081</v>
      </c>
      <c r="O8" s="75">
        <v>10027</v>
      </c>
      <c r="P8" s="75">
        <v>10727</v>
      </c>
      <c r="Q8" s="75">
        <v>9922</v>
      </c>
      <c r="R8" s="75">
        <v>10261</v>
      </c>
      <c r="S8" s="75">
        <v>10524</v>
      </c>
      <c r="T8" s="75">
        <v>10533</v>
      </c>
      <c r="U8" s="75">
        <v>10474</v>
      </c>
      <c r="V8" s="121">
        <v>10853</v>
      </c>
      <c r="W8" s="121">
        <v>11240</v>
      </c>
      <c r="X8" s="121">
        <v>10651</v>
      </c>
      <c r="Y8" s="121">
        <v>8988</v>
      </c>
      <c r="Z8" s="121">
        <v>10365</v>
      </c>
      <c r="AA8" s="121">
        <f>AJ8</f>
        <v>13619</v>
      </c>
      <c r="AB8" s="122">
        <f>AG8</f>
        <v>11599</v>
      </c>
      <c r="AC8" s="139">
        <f>IF(AND(AB8=0,AB8=0),0,IF(OR(AND(AB8&gt;0,AA8&lt;=0),AND(AB8&lt;0,AA8&gt;=0)),"nm",IF(AND(AB8&lt;0,AA8&lt;0),IF(-(AB8/AA8-1)*100&lt;-100,"(&gt;100)",-(AB8/AA8-1)*100),IF((AB8/AA8-1)*100&gt;100,"&gt;100",(AB8/AA8-1)*100))))</f>
        <v>-14.832219693075855</v>
      </c>
      <c r="AD8" s="139">
        <f>IF(AND(AB8=0,X8=0),0,IF(OR(AND(AB8&gt;0,X8&lt;=0),AND(AB8&lt;0,X8&gt;=0)),"nm",IF(AND(AB8&lt;0,X8&lt;0),IF(-(AB8/X8-1)*100&lt;-100,"(&gt;100)",-(AB8/X8-1)*100),IF((AB8/X8-1)*100&gt;100,"&gt;100",(AB8/X8-1)*100))))</f>
        <v>8.90057271617688</v>
      </c>
      <c r="AE8" s="19"/>
      <c r="AF8" s="121">
        <v>10651</v>
      </c>
      <c r="AG8" s="122">
        <v>11599</v>
      </c>
      <c r="AH8" s="139">
        <f>IF(AND(AG8=0,AF8=0),0,IF(OR(AND(AG8&gt;0,AF8&lt;=0),AND(AG8&lt;0,AF8&gt;=0)),"nm",IF(AND(AG8&lt;0,AF8&lt;0),IF(-(AG8/AF8-1)*100&lt;-100,"(&gt;100)",-(AG8/AF8-1)*100),IF((AG8/AF8-1)*100&gt;100,"&gt;100",(AG8/AF8-1)*100))))</f>
        <v>8.90057271617688</v>
      </c>
      <c r="AI8" s="121">
        <f>W8</f>
        <v>11240</v>
      </c>
      <c r="AJ8" s="122">
        <v>13619</v>
      </c>
      <c r="AK8" s="139">
        <f>IF(AND(AJ8=0,AI8=0),0,IF(OR(AND(AJ8&gt;0,AI8&lt;=0),AND(AJ8&lt;0,AI8&gt;=0)),"nm",IF(AND(AJ8&lt;0,AI8&lt;0),IF(-(AJ8/AI8-1)*100&lt;-100,"(&gt;100)",-(AJ8/AI8-1)*100),IF((AJ8/AI8-1)*100&gt;100,"&gt;100",(AJ8/AI8-1)*100))))</f>
        <v>21.16548042704627</v>
      </c>
    </row>
    <row r="9" spans="2:37" ht="15">
      <c r="B9" s="31"/>
      <c r="C9" s="36" t="s">
        <v>139</v>
      </c>
      <c r="D9" s="75">
        <v>1144</v>
      </c>
      <c r="E9" s="75">
        <v>1016</v>
      </c>
      <c r="F9" s="75">
        <v>1143</v>
      </c>
      <c r="G9" s="121">
        <v>1157</v>
      </c>
      <c r="H9" s="121">
        <v>1099</v>
      </c>
      <c r="J9" s="75">
        <v>1081</v>
      </c>
      <c r="K9" s="75">
        <v>865</v>
      </c>
      <c r="L9" s="75">
        <v>918</v>
      </c>
      <c r="M9" s="75">
        <v>1016</v>
      </c>
      <c r="N9" s="75">
        <v>1050</v>
      </c>
      <c r="O9" s="75">
        <v>1040</v>
      </c>
      <c r="P9" s="75">
        <v>1190</v>
      </c>
      <c r="Q9" s="75">
        <v>1143</v>
      </c>
      <c r="R9" s="75">
        <v>1104</v>
      </c>
      <c r="S9" s="75">
        <v>1023</v>
      </c>
      <c r="T9" s="75">
        <v>1141</v>
      </c>
      <c r="U9" s="75">
        <v>1157</v>
      </c>
      <c r="V9" s="121">
        <v>1175</v>
      </c>
      <c r="W9" s="121">
        <v>1148</v>
      </c>
      <c r="X9" s="121">
        <v>1107</v>
      </c>
      <c r="Y9" s="121">
        <v>1099</v>
      </c>
      <c r="Z9" s="121">
        <v>1361</v>
      </c>
      <c r="AA9" s="121">
        <f>AJ9</f>
        <v>1326</v>
      </c>
      <c r="AB9" s="122">
        <f>AG9</f>
        <v>1278</v>
      </c>
      <c r="AC9" s="139">
        <f>IF(AND(AB9=0,AB9=0),0,IF(OR(AND(AB9&gt;0,AA9&lt;=0),AND(AB9&lt;0,AA9&gt;=0)),"nm",IF(AND(AB9&lt;0,AA9&lt;0),IF(-(AB9/AA9-1)*100&lt;-100,"(&gt;100)",-(AB9/AA9-1)*100),IF((AB9/AA9-1)*100&gt;100,"&gt;100",(AB9/AA9-1)*100))))</f>
        <v>-3.6199095022624417</v>
      </c>
      <c r="AD9" s="139">
        <f>IF(AND(AB9=0,X9=0),0,IF(OR(AND(AB9&gt;0,X9&lt;=0),AND(AB9&lt;0,X9&gt;=0)),"nm",IF(AND(AB9&lt;0,X9&lt;0),IF(-(AB9/X9-1)*100&lt;-100,"(&gt;100)",-(AB9/X9-1)*100),IF((AB9/X9-1)*100&gt;100,"&gt;100",(AB9/X9-1)*100))))</f>
        <v>15.44715447154472</v>
      </c>
      <c r="AE9" s="19"/>
      <c r="AF9" s="121">
        <v>1107</v>
      </c>
      <c r="AG9" s="122">
        <v>1278</v>
      </c>
      <c r="AH9" s="139">
        <f>IF(AND(AG9=0,AF9=0),0,IF(OR(AND(AG9&gt;0,AF9&lt;=0),AND(AG9&lt;0,AF9&gt;=0)),"nm",IF(AND(AG9&lt;0,AF9&lt;0),IF(-(AG9/AF9-1)*100&lt;-100,"(&gt;100)",-(AG9/AF9-1)*100),IF((AG9/AF9-1)*100&gt;100,"&gt;100",(AG9/AF9-1)*100))))</f>
        <v>15.44715447154472</v>
      </c>
      <c r="AI9" s="121">
        <f>W9</f>
        <v>1148</v>
      </c>
      <c r="AJ9" s="122">
        <v>1326</v>
      </c>
      <c r="AK9" s="139">
        <f>IF(AND(AJ9=0,AI9=0),0,IF(OR(AND(AJ9&gt;0,AI9&lt;=0),AND(AJ9&lt;0,AI9&gt;=0)),"nm",IF(AND(AJ9&lt;0,AI9&lt;0),IF(-(AJ9/AI9-1)*100&lt;-100,"(&gt;100)",-(AJ9/AI9-1)*100),IF((AJ9/AI9-1)*100&gt;100,"&gt;100",(AJ9/AI9-1)*100))))</f>
        <v>15.505226480836232</v>
      </c>
    </row>
    <row r="10" spans="3:36" ht="14.25">
      <c r="C10" s="22"/>
      <c r="D10" s="75"/>
      <c r="Z10" s="121"/>
      <c r="AA10" s="171"/>
      <c r="AB10" s="489"/>
      <c r="AC10" s="139"/>
      <c r="AD10" s="121"/>
      <c r="AE10" s="19"/>
      <c r="AF10" s="121"/>
      <c r="AG10" s="489"/>
      <c r="AH10" s="139"/>
      <c r="AJ10" s="461"/>
    </row>
    <row r="11" spans="1:36" ht="15">
      <c r="A11" s="88" t="s">
        <v>142</v>
      </c>
      <c r="C11" s="22"/>
      <c r="D11" s="75"/>
      <c r="Z11" s="171"/>
      <c r="AA11" s="171"/>
      <c r="AB11" s="489"/>
      <c r="AC11" s="139"/>
      <c r="AD11" s="121"/>
      <c r="AE11" s="19"/>
      <c r="AF11" s="121"/>
      <c r="AG11" s="122"/>
      <c r="AH11" s="139"/>
      <c r="AJ11" s="461"/>
    </row>
    <row r="12" spans="2:37" s="18" customFormat="1" ht="15">
      <c r="B12" s="18" t="s">
        <v>323</v>
      </c>
      <c r="D12" s="17">
        <v>901</v>
      </c>
      <c r="E12" s="17">
        <f>D17</f>
        <v>-388</v>
      </c>
      <c r="F12" s="17">
        <v>132</v>
      </c>
      <c r="G12" s="17">
        <v>387</v>
      </c>
      <c r="H12" s="17">
        <v>411</v>
      </c>
      <c r="I12" s="17"/>
      <c r="J12" s="17">
        <v>-388</v>
      </c>
      <c r="K12" s="17">
        <v>-846</v>
      </c>
      <c r="L12" s="17">
        <v>-310</v>
      </c>
      <c r="M12" s="17">
        <v>146</v>
      </c>
      <c r="N12" s="17">
        <v>132</v>
      </c>
      <c r="O12" s="17">
        <v>363</v>
      </c>
      <c r="P12" s="17">
        <v>530</v>
      </c>
      <c r="Q12" s="17">
        <v>842</v>
      </c>
      <c r="R12" s="17">
        <v>387</v>
      </c>
      <c r="S12" s="17">
        <v>416</v>
      </c>
      <c r="T12" s="17">
        <v>438</v>
      </c>
      <c r="U12" s="17">
        <v>596</v>
      </c>
      <c r="V12" s="17">
        <v>411</v>
      </c>
      <c r="W12" s="17">
        <v>446</v>
      </c>
      <c r="X12" s="17">
        <v>519</v>
      </c>
      <c r="Y12" s="17">
        <v>624</v>
      </c>
      <c r="Z12" s="17">
        <v>634</v>
      </c>
      <c r="AA12" s="17">
        <f>Z17</f>
        <v>623</v>
      </c>
      <c r="AB12" s="125">
        <f>AA17</f>
        <v>96</v>
      </c>
      <c r="AC12" s="133">
        <f aca="true" t="shared" si="0" ref="AC12:AC17">IF(AND(AB12=0,AB12=0),0,IF(OR(AND(AB12&gt;0,AA12&lt;=0),AND(AB12&lt;0,AA12&gt;=0)),"nm",IF(AND(AB12&lt;0,AA12&lt;0),IF(-(AB12/AA12-1)*100&lt;-100,"(&gt;100)",-(AB12/AA12-1)*100),IF((AB12/AA12-1)*100&gt;100,"&gt;100",(AB12/AA12-1)*100))))</f>
        <v>-84.59069020866774</v>
      </c>
      <c r="AD12" s="133">
        <f aca="true" t="shared" si="1" ref="AD12:AD17">IF(AND(AB12=0,X12=0),0,IF(OR(AND(AB12&gt;0,X12&lt;=0),AND(AB12&lt;0,X12&gt;=0)),"nm",IF(AND(AB12&lt;0,X12&lt;0),IF(-(AB12/X12-1)*100&lt;-100,"(&gt;100)",-(AB12/X12-1)*100),IF((AB12/X12-1)*100&gt;100,"&gt;100",(AB12/X12-1)*100))))</f>
        <v>-81.5028901734104</v>
      </c>
      <c r="AE12" s="15"/>
      <c r="AF12" s="17">
        <v>411</v>
      </c>
      <c r="AG12" s="125">
        <f>Z12</f>
        <v>634</v>
      </c>
      <c r="AH12" s="133">
        <f aca="true" t="shared" si="2" ref="AH12:AH17">IF(AND(AG12=0,AF12=0),0,IF(OR(AND(AG12&gt;0,AF12&lt;=0),AND(AG12&lt;0,AF12&gt;=0)),"nm",IF(AND(AG12&lt;0,AF12&lt;0),IF(-(AG12/AF12-1)*100&lt;-100,"(&gt;100)",-(AG12/AF12-1)*100),IF((AG12/AF12-1)*100&gt;100,"&gt;100",(AG12/AF12-1)*100))))</f>
        <v>54.25790754257906</v>
      </c>
      <c r="AI12" s="17">
        <f>V12</f>
        <v>411</v>
      </c>
      <c r="AJ12" s="125">
        <f>Z12</f>
        <v>634</v>
      </c>
      <c r="AK12" s="133">
        <f>IF(AND(AJ12=0,AI12=0),0,IF(OR(AND(AJ12&gt;0,AI12&lt;=0),AND(AJ12&lt;0,AI12&gt;=0)),"nm",IF(AND(AJ12&lt;0,AI12&lt;0),IF(-(AJ12/AI12-1)*100&lt;-100,"(&gt;100)",-(AJ12/AI12-1)*100),IF((AJ12/AI12-1)*100&gt;100,"&gt;100",(AJ12/AI12-1)*100))))</f>
        <v>54.25790754257906</v>
      </c>
    </row>
    <row r="13" spans="3:37" ht="14.25">
      <c r="C13" s="22" t="s">
        <v>324</v>
      </c>
      <c r="D13" s="75">
        <v>-1217</v>
      </c>
      <c r="E13" s="75">
        <v>932</v>
      </c>
      <c r="F13" s="75">
        <v>598</v>
      </c>
      <c r="G13" s="121">
        <v>416</v>
      </c>
      <c r="H13" s="121">
        <v>613</v>
      </c>
      <c r="J13" s="75">
        <v>-392</v>
      </c>
      <c r="K13" s="75">
        <v>752</v>
      </c>
      <c r="L13" s="75">
        <v>540</v>
      </c>
      <c r="M13" s="75">
        <v>32</v>
      </c>
      <c r="N13" s="75">
        <v>336</v>
      </c>
      <c r="O13" s="75">
        <v>227</v>
      </c>
      <c r="P13" s="75">
        <v>474</v>
      </c>
      <c r="Q13" s="75">
        <v>-439</v>
      </c>
      <c r="R13" s="75">
        <v>92</v>
      </c>
      <c r="S13" s="75">
        <v>98</v>
      </c>
      <c r="T13" s="75">
        <v>296</v>
      </c>
      <c r="U13" s="75">
        <v>-70</v>
      </c>
      <c r="V13" s="75">
        <v>139</v>
      </c>
      <c r="W13" s="75">
        <v>158</v>
      </c>
      <c r="X13" s="75">
        <v>202</v>
      </c>
      <c r="Y13" s="75">
        <v>114</v>
      </c>
      <c r="Z13" s="121">
        <v>54</v>
      </c>
      <c r="AA13" s="121">
        <f>'24.P&amp;L'!F52</f>
        <v>-539</v>
      </c>
      <c r="AB13" s="122">
        <f>'24.P&amp;L'!C52</f>
        <v>70</v>
      </c>
      <c r="AC13" s="132" t="str">
        <f t="shared" si="0"/>
        <v>nm</v>
      </c>
      <c r="AD13" s="139">
        <f t="shared" si="1"/>
        <v>-65.34653465346535</v>
      </c>
      <c r="AF13" s="75">
        <v>499</v>
      </c>
      <c r="AG13" s="122">
        <f>'24.P&amp;L'!I52</f>
        <v>-415</v>
      </c>
      <c r="AH13" s="139" t="str">
        <f t="shared" si="2"/>
        <v>nm</v>
      </c>
      <c r="AI13" s="121">
        <f>W13+V13</f>
        <v>297</v>
      </c>
      <c r="AJ13" s="122">
        <f>AA13+Z13</f>
        <v>-485</v>
      </c>
      <c r="AK13" s="139" t="str">
        <f>IF(AND(AJ13=0,AI13=0),0,IF(OR(AND(AJ13&gt;0,AI13&lt;=0),AND(AJ13&lt;0,AI13&gt;=0)),"nm",IF(AND(AJ13&lt;0,AI13&lt;0),IF(-(AJ13/AI13-1)*100&lt;-100,"(&gt;100)",-(AJ13/AI13-1)*100),IF((AJ13/AI13-1)*100&gt;100,"&gt;100",(AJ13/AI13-1)*100))))</f>
        <v>nm</v>
      </c>
    </row>
    <row r="14" spans="3:37" ht="14.25">
      <c r="C14" s="22" t="s">
        <v>373</v>
      </c>
      <c r="D14" s="75">
        <v>-328</v>
      </c>
      <c r="E14" s="75">
        <v>-312</v>
      </c>
      <c r="F14" s="75">
        <v>-315</v>
      </c>
      <c r="G14" s="121">
        <v>-425</v>
      </c>
      <c r="H14" s="121">
        <v>-345</v>
      </c>
      <c r="J14" s="75">
        <v>-112</v>
      </c>
      <c r="K14" s="75">
        <v>-140</v>
      </c>
      <c r="L14" s="75">
        <v>-29</v>
      </c>
      <c r="M14" s="75">
        <v>-31</v>
      </c>
      <c r="N14" s="75">
        <v>-83</v>
      </c>
      <c r="O14" s="75">
        <v>-59</v>
      </c>
      <c r="P14" s="75">
        <v>-131</v>
      </c>
      <c r="Q14" s="75">
        <v>-42</v>
      </c>
      <c r="R14" s="75">
        <v>-66</v>
      </c>
      <c r="S14" s="75">
        <v>-78</v>
      </c>
      <c r="T14" s="75">
        <v>-158</v>
      </c>
      <c r="U14" s="75">
        <v>-123</v>
      </c>
      <c r="V14" s="75">
        <v>-95</v>
      </c>
      <c r="W14" s="75">
        <v>-64</v>
      </c>
      <c r="X14" s="75">
        <v>-88</v>
      </c>
      <c r="Y14" s="75">
        <v>-98</v>
      </c>
      <c r="Z14" s="121">
        <v>-55</v>
      </c>
      <c r="AA14" s="121">
        <f>'24.P&amp;L'!F53</f>
        <v>-26</v>
      </c>
      <c r="AB14" s="122">
        <f>'24.P&amp;L'!C53</f>
        <v>-44</v>
      </c>
      <c r="AC14" s="132">
        <f t="shared" si="0"/>
        <v>-69.23076923076923</v>
      </c>
      <c r="AD14" s="139">
        <f t="shared" si="1"/>
        <v>50</v>
      </c>
      <c r="AF14" s="75">
        <v>-247</v>
      </c>
      <c r="AG14" s="122">
        <f>'24.P&amp;L'!I53</f>
        <v>-125</v>
      </c>
      <c r="AH14" s="139">
        <f>IF(AND(AG14=0,AF14=0),0,IF(OR(AND(AG14&gt;0,AF14&lt;=0),AND(AG14&lt;0,AF14&gt;=0)),"nm",IF(AND(AG14&lt;0,AF14&lt;0),IF(-(AG14/AF14-1)*100&lt;-100,"(&gt;100)",-(AG14/AF14-1)*100),IF((AG14/AF14-1)*100&gt;100,"&gt;100",(AG14/AF14-1)*100))))</f>
        <v>49.392712550607285</v>
      </c>
      <c r="AI14" s="121">
        <f>W14+V14</f>
        <v>-159</v>
      </c>
      <c r="AJ14" s="122">
        <f>AA14+Z14</f>
        <v>-81</v>
      </c>
      <c r="AK14" s="139">
        <f>IF(AND(AJ14=0,AI14=0),0,IF(OR(AND(AJ14&gt;0,AI14&lt;=0),AND(AJ14&lt;0,AI14&gt;=0)),"nm",IF(AND(AJ14&lt;0,AI14&lt;0),IF(-(AJ14/AI14-1)*100&lt;-100,"(&gt;100)",-(AJ14/AI14-1)*100),IF((AJ14/AI14-1)*100&gt;100,"&gt;100",(AJ14/AI14-1)*100))))</f>
        <v>49.056603773584904</v>
      </c>
    </row>
    <row r="15" spans="3:37" ht="14.25">
      <c r="C15" s="22" t="s">
        <v>254</v>
      </c>
      <c r="D15" s="75">
        <v>256</v>
      </c>
      <c r="E15" s="75">
        <v>-100</v>
      </c>
      <c r="F15" s="75">
        <v>-28</v>
      </c>
      <c r="G15" s="121">
        <v>29</v>
      </c>
      <c r="H15" s="121">
        <v>-42</v>
      </c>
      <c r="J15" s="75">
        <v>46</v>
      </c>
      <c r="K15" s="75">
        <v>-76</v>
      </c>
      <c r="L15" s="75">
        <v>-55</v>
      </c>
      <c r="M15" s="75">
        <v>-15</v>
      </c>
      <c r="N15" s="75">
        <v>-22</v>
      </c>
      <c r="O15" s="75">
        <v>-1</v>
      </c>
      <c r="P15" s="75">
        <v>-31</v>
      </c>
      <c r="Q15" s="75">
        <v>26</v>
      </c>
      <c r="R15" s="75">
        <v>3</v>
      </c>
      <c r="S15" s="75">
        <v>2</v>
      </c>
      <c r="T15" s="75">
        <v>20</v>
      </c>
      <c r="U15" s="75">
        <v>4</v>
      </c>
      <c r="V15" s="121">
        <v>-14</v>
      </c>
      <c r="W15" s="121">
        <v>-4</v>
      </c>
      <c r="X15" s="121">
        <v>-16</v>
      </c>
      <c r="Y15" s="121">
        <v>-8</v>
      </c>
      <c r="Z15" s="121">
        <v>-9</v>
      </c>
      <c r="AA15" s="121">
        <f>'24.P&amp;L'!F54</f>
        <v>41</v>
      </c>
      <c r="AB15" s="122">
        <f>'24.P&amp;L'!C54</f>
        <v>-4</v>
      </c>
      <c r="AC15" s="132" t="str">
        <f t="shared" si="0"/>
        <v>nm</v>
      </c>
      <c r="AD15" s="139">
        <f t="shared" si="1"/>
        <v>75</v>
      </c>
      <c r="AF15" s="75">
        <v>-34</v>
      </c>
      <c r="AG15" s="122">
        <f>'24.P&amp;L'!I54</f>
        <v>28</v>
      </c>
      <c r="AH15" s="139" t="str">
        <f>IF(AND(AG15=0,AF15=0),0,IF(OR(AND(AG15&gt;0,AF15&lt;=0),AND(AG15&lt;0,AF15&gt;=0)),"nm",IF(AND(AG15&lt;0,AF15&lt;0),IF(-(AG15/AF15-1)*100&lt;-100,"(&gt;100)",-(AG15/AF15-1)*100),IF((AG15/AF15-1)*100&gt;100,"&gt;100",(AG15/AF15-1)*100))))</f>
        <v>nm</v>
      </c>
      <c r="AI15" s="121">
        <f>W15+V15</f>
        <v>-18</v>
      </c>
      <c r="AJ15" s="122">
        <f>AA15+Z15</f>
        <v>32</v>
      </c>
      <c r="AK15" s="139" t="str">
        <f>IF(AND(AJ15=0,AI15=0),0,IF(OR(AND(AJ15&gt;0,AI15&lt;=0),AND(AJ15&lt;0,AI15&gt;=0)),"nm",IF(AND(AJ15&lt;0,AI15&lt;0),IF(-(AJ15/AI15-1)*100&lt;-100,"(&gt;100)",-(AJ15/AI15-1)*100),IF((AJ15/AI15-1)*100&gt;100,"&gt;100",(AJ15/AI15-1)*100))))</f>
        <v>nm</v>
      </c>
    </row>
    <row r="16" spans="3:37" ht="14.25">
      <c r="C16" s="22" t="s">
        <v>371</v>
      </c>
      <c r="D16" s="75"/>
      <c r="G16" s="121">
        <v>4</v>
      </c>
      <c r="H16" s="121">
        <v>-3</v>
      </c>
      <c r="U16" s="75">
        <v>4</v>
      </c>
      <c r="V16" s="121">
        <v>5</v>
      </c>
      <c r="W16" s="121">
        <v>-17</v>
      </c>
      <c r="X16" s="121">
        <v>7</v>
      </c>
      <c r="Y16" s="121">
        <v>2</v>
      </c>
      <c r="Z16" s="121">
        <v>-1</v>
      </c>
      <c r="AA16" s="121">
        <v>-3</v>
      </c>
      <c r="AB16" s="122">
        <v>3</v>
      </c>
      <c r="AC16" s="132" t="str">
        <f t="shared" si="0"/>
        <v>nm</v>
      </c>
      <c r="AD16" s="139">
        <f t="shared" si="1"/>
        <v>-57.14285714285714</v>
      </c>
      <c r="AF16" s="75">
        <v>-5</v>
      </c>
      <c r="AG16" s="122">
        <v>-1</v>
      </c>
      <c r="AH16" s="139">
        <f>IF(AND(AG16=0,AF16=0),0,IF(OR(AND(AG16&gt;0,AF16&lt;=0),AND(AG16&lt;0,AF16&gt;=0)),"nm",IF(AND(AG16&lt;0,AF16&lt;0),IF(-(AG16/AF16-1)*100&lt;-100,"(&gt;100)",-(AG16/AF16-1)*100),IF((AG16/AF16-1)*100&gt;100,"&gt;100",(AG16/AF16-1)*100))))</f>
        <v>80</v>
      </c>
      <c r="AI16" s="121">
        <f>W16+V16</f>
        <v>-12</v>
      </c>
      <c r="AJ16" s="122">
        <f>AA16+Z16</f>
        <v>-4</v>
      </c>
      <c r="AK16" s="139">
        <f>IF(AND(AJ16=0,AI16=0),0,IF(OR(AND(AJ16&gt;0,AI16&lt;=0),AND(AJ16&lt;0,AI16&gt;=0)),"nm",IF(AND(AJ16&lt;0,AI16&lt;0),IF(-(AJ16/AI16-1)*100&lt;-100,"(&gt;100)",-(AJ16/AI16-1)*100),IF((AJ16/AI16-1)*100&gt;100,"&gt;100",(AJ16/AI16-1)*100))))</f>
        <v>66.66666666666667</v>
      </c>
    </row>
    <row r="17" spans="2:37" s="18" customFormat="1" ht="15">
      <c r="B17" s="18" t="s">
        <v>134</v>
      </c>
      <c r="D17" s="17">
        <v>-388</v>
      </c>
      <c r="E17" s="17">
        <f>SUM(E12:E15)</f>
        <v>132</v>
      </c>
      <c r="F17" s="17">
        <v>387</v>
      </c>
      <c r="G17" s="17">
        <f>SUM(G12:G16)</f>
        <v>411</v>
      </c>
      <c r="H17" s="17">
        <v>634</v>
      </c>
      <c r="I17" s="17"/>
      <c r="J17" s="17">
        <v>-846</v>
      </c>
      <c r="K17" s="17">
        <v>-310</v>
      </c>
      <c r="L17" s="17">
        <v>146</v>
      </c>
      <c r="M17" s="17">
        <v>132</v>
      </c>
      <c r="N17" s="17">
        <v>363</v>
      </c>
      <c r="O17" s="17">
        <v>530</v>
      </c>
      <c r="P17" s="17">
        <v>842</v>
      </c>
      <c r="Q17" s="17">
        <v>387</v>
      </c>
      <c r="R17" s="17">
        <v>416</v>
      </c>
      <c r="S17" s="17">
        <v>438</v>
      </c>
      <c r="T17" s="162">
        <v>596</v>
      </c>
      <c r="U17" s="162">
        <f>SUM(U12:U16)</f>
        <v>411</v>
      </c>
      <c r="V17" s="17">
        <v>446</v>
      </c>
      <c r="W17" s="17">
        <v>519</v>
      </c>
      <c r="X17" s="17">
        <v>624</v>
      </c>
      <c r="Y17" s="17">
        <v>634</v>
      </c>
      <c r="Z17" s="17">
        <f>SUM(Z12:Z16)</f>
        <v>623</v>
      </c>
      <c r="AA17" s="17">
        <f>SUM(AA12:AA16)</f>
        <v>96</v>
      </c>
      <c r="AB17" s="125">
        <f>SUM(AB12:AB16)</f>
        <v>121</v>
      </c>
      <c r="AC17" s="133">
        <f t="shared" si="0"/>
        <v>26.041666666666675</v>
      </c>
      <c r="AD17" s="133">
        <f t="shared" si="1"/>
        <v>-80.60897435897436</v>
      </c>
      <c r="AE17" s="15"/>
      <c r="AF17" s="17">
        <v>624</v>
      </c>
      <c r="AG17" s="125">
        <f>SUM(AG12:AG16)</f>
        <v>121</v>
      </c>
      <c r="AH17" s="139">
        <f t="shared" si="2"/>
        <v>-80.60897435897436</v>
      </c>
      <c r="AI17" s="17">
        <f>SUM(AI12:AI16)</f>
        <v>519</v>
      </c>
      <c r="AJ17" s="125">
        <f>SUM(AJ12:AJ16)</f>
        <v>96</v>
      </c>
      <c r="AK17" s="133">
        <f>IF(AND(AJ17=0,AI17=0),0,IF(OR(AND(AJ17&gt;0,AI17&lt;=0),AND(AJ17&lt;0,AI17&gt;=0)),"nm",IF(AND(AJ17&lt;0,AI17&lt;0),IF(-(AJ17/AI17-1)*100&lt;-100,"(&gt;100)",-(AJ17/AI17-1)*100),IF((AJ17/AI17-1)*100&gt;100,"&gt;100",(AJ17/AI17-1)*100))))</f>
        <v>-81.5028901734104</v>
      </c>
    </row>
    <row r="18" spans="26:37" ht="15">
      <c r="Z18" s="121"/>
      <c r="AA18" s="121"/>
      <c r="AB18" s="122"/>
      <c r="AF18" s="171"/>
      <c r="AG18" s="122"/>
      <c r="AH18" s="139"/>
      <c r="AI18" s="17"/>
      <c r="AJ18" s="462"/>
      <c r="AK18" s="133"/>
    </row>
    <row r="19" spans="2:37" ht="15">
      <c r="B19" s="18" t="s">
        <v>358</v>
      </c>
      <c r="C19" s="18"/>
      <c r="G19" s="17">
        <v>0</v>
      </c>
      <c r="H19" s="17">
        <v>-16</v>
      </c>
      <c r="Q19" s="75">
        <v>0</v>
      </c>
      <c r="R19" s="75">
        <v>0</v>
      </c>
      <c r="S19" s="75">
        <v>0</v>
      </c>
      <c r="T19" s="75">
        <v>0</v>
      </c>
      <c r="U19" s="75">
        <v>-11</v>
      </c>
      <c r="V19" s="75">
        <v>-16</v>
      </c>
      <c r="W19" s="75">
        <v>3</v>
      </c>
      <c r="X19" s="75">
        <v>0</v>
      </c>
      <c r="Y19" s="75">
        <v>3</v>
      </c>
      <c r="Z19" s="121">
        <v>-1</v>
      </c>
      <c r="AA19" s="121">
        <f>Z23</f>
        <v>-12</v>
      </c>
      <c r="AB19" s="122">
        <f>AA23</f>
        <v>-22</v>
      </c>
      <c r="AC19" s="133">
        <f>IF(AND(AB19=0,AB19=0),0,IF(OR(AND(AB19&gt;0,AA19&lt;=0),AND(AB19&lt;0,AA19&gt;=0)),"nm",IF(AND(AB19&lt;0,AA19&lt;0),IF(-(AB19/AA19-1)*100&lt;-100,"(&gt;100)",-(AB19/AA19-1)*100),IF((AB19/AA19-1)*100&gt;100,"&gt;100",(AB19/AA19-1)*100))))</f>
        <v>-83.33333333333333</v>
      </c>
      <c r="AD19" s="133" t="str">
        <f>IF(AND(AA19=0,W19=0),0,IF(OR(AND(AA19&gt;0,W19&lt;=0),AND(AA19&lt;0,W19&gt;=0)),"nm",IF(AND(AA19&lt;0,W19&lt;0),IF(-(AA19/W19-1)*100&lt;-100,"(&gt;100)",-(AA19/W19-1)*100),IF((AA19/W19-1)*100&gt;100,"&gt;100",(AA19/W19-1)*100))))</f>
        <v>nm</v>
      </c>
      <c r="AF19" s="17">
        <v>-16</v>
      </c>
      <c r="AG19" s="125">
        <f>Z19</f>
        <v>-1</v>
      </c>
      <c r="AH19" s="139">
        <f>IF(AND(AG19=0,AF19=0),0,IF(OR(AND(AG19&gt;0,AF19&lt;=0),AND(AG19&lt;0,AF19&gt;=0)),"nm",IF(AND(AG19&lt;0,AF19&lt;0),IF(-(AG19/AF19-1)*100&lt;-100,"(&gt;100)",-(AG19/AF19-1)*100),IF((AG19/AF19-1)*100&gt;100,"&gt;100",(AG19/AF19-1)*100))))</f>
        <v>93.75</v>
      </c>
      <c r="AI19" s="140">
        <f>V19</f>
        <v>-16</v>
      </c>
      <c r="AJ19" s="122">
        <f>Z19</f>
        <v>-1</v>
      </c>
      <c r="AK19" s="133">
        <f>IF(AND(AJ19=0,AI19=0),0,IF(OR(AND(AJ19&gt;0,AI19&lt;=0),AND(AJ19&lt;0,AI19&gt;=0)),"nm",IF(AND(AJ19&lt;0,AI19&lt;0),IF(-(AJ19/AI19-1)*100&lt;-100,"(&gt;100)",-(AJ19/AI19-1)*100),IF((AJ19/AI19-1)*100&gt;100,"&gt;100",(AJ19/AI19-1)*100))))</f>
        <v>93.75</v>
      </c>
    </row>
    <row r="20" spans="3:37" ht="15">
      <c r="C20" s="22" t="s">
        <v>324</v>
      </c>
      <c r="G20" s="121">
        <v>-18</v>
      </c>
      <c r="H20" s="121">
        <v>9</v>
      </c>
      <c r="Q20" s="75">
        <v>0</v>
      </c>
      <c r="R20" s="75">
        <v>0</v>
      </c>
      <c r="S20" s="75">
        <v>0</v>
      </c>
      <c r="T20" s="75">
        <v>-12</v>
      </c>
      <c r="U20" s="75">
        <v>-6</v>
      </c>
      <c r="V20" s="75">
        <v>22</v>
      </c>
      <c r="W20" s="75">
        <v>-1</v>
      </c>
      <c r="X20" s="75">
        <v>1</v>
      </c>
      <c r="Y20" s="75">
        <v>-13</v>
      </c>
      <c r="Z20" s="121">
        <v>-15</v>
      </c>
      <c r="AA20" s="121">
        <f>'24.P&amp;L'!F56</f>
        <v>-18</v>
      </c>
      <c r="AB20" s="122">
        <f>'24.P&amp;L'!C56</f>
        <v>5</v>
      </c>
      <c r="AC20" s="132" t="str">
        <f>IF(AND(AB20=0,AB20=0),0,IF(OR(AND(AB20&gt;0,AA20&lt;=0),AND(AB20&lt;0,AA20&gt;=0)),"nm",IF(AND(AB20&lt;0,AA20&lt;0),IF(-(AB20/AA20-1)*100&lt;-100,"(&gt;100)",-(AB20/AA20-1)*100),IF((AB20/AA20-1)*100&gt;100,"&gt;100",(AB20/AA20-1)*100))))</f>
        <v>nm</v>
      </c>
      <c r="AD20" s="139" t="str">
        <f>IF(AND(AA20=0,W20=0),0,IF(OR(AND(AA20&gt;0,W20&lt;=0),AND(AA20&lt;0,W20&gt;=0)),"nm",IF(AND(AA20&lt;0,W20&lt;0),IF(-(AA20/W20-1)*100&lt;-100,"(&gt;100)",-(AA20/W20-1)*100),IF((AA20/W20-1)*100&gt;100,"&gt;100",(AA20/W20-1)*100))))</f>
        <v>(&gt;100)</v>
      </c>
      <c r="AF20" s="75">
        <v>22</v>
      </c>
      <c r="AG20" s="122">
        <f>'24.P&amp;L'!I56</f>
        <v>-28</v>
      </c>
      <c r="AH20" s="139" t="str">
        <f>IF(AND(AG20=0,AF20=0),0,IF(OR(AND(AG20&gt;0,AF20&lt;=0),AND(AG20&lt;0,AF20&gt;=0)),"nm",IF(AND(AG20&lt;0,AF20&lt;0),IF(-(AG20/AF20-1)*100&lt;-100,"(&gt;100)",-(AG20/AF20-1)*100),IF((AG20/AF20-1)*100&gt;100,"&gt;100",(AG20/AF20-1)*100))))</f>
        <v>nm</v>
      </c>
      <c r="AI20" s="140">
        <f>W20+V20</f>
        <v>21</v>
      </c>
      <c r="AJ20" s="125">
        <f>AA20+Z20</f>
        <v>-33</v>
      </c>
      <c r="AK20" s="139" t="str">
        <f>IF(AND(AJ20=0,AI20=0),0,IF(OR(AND(AJ20&gt;0,AI20&lt;=0),AND(AJ20&lt;0,AI20&gt;=0)),"nm",IF(AND(AJ20&lt;0,AI20&lt;0),IF(-(AJ20/AI20-1)*100&lt;-100,"(&gt;100)",-(AJ20/AI20-1)*100),IF((AJ20/AI20-1)*100&gt;100,"&gt;100",(AJ20/AI20-1)*100))))</f>
        <v>nm</v>
      </c>
    </row>
    <row r="21" spans="3:37" ht="15">
      <c r="C21" s="20" t="s">
        <v>373</v>
      </c>
      <c r="G21" s="121">
        <v>0</v>
      </c>
      <c r="H21" s="121">
        <v>8</v>
      </c>
      <c r="Q21" s="75">
        <v>0</v>
      </c>
      <c r="R21" s="75">
        <v>0</v>
      </c>
      <c r="S21" s="75">
        <v>0</v>
      </c>
      <c r="T21" s="75">
        <v>0</v>
      </c>
      <c r="U21" s="75">
        <v>0</v>
      </c>
      <c r="V21" s="75">
        <v>0</v>
      </c>
      <c r="W21" s="75">
        <v>-3</v>
      </c>
      <c r="X21" s="75">
        <v>3</v>
      </c>
      <c r="Y21" s="75">
        <v>8</v>
      </c>
      <c r="Z21" s="121">
        <v>3</v>
      </c>
      <c r="AA21" s="121">
        <f>'24.P&amp;L'!F57</f>
        <v>6</v>
      </c>
      <c r="AB21" s="122">
        <f>'24.P&amp;L'!C57</f>
        <v>7</v>
      </c>
      <c r="AC21" s="132">
        <f>IF(AND(AB21=0,AB21=0),0,IF(OR(AND(AB21&gt;0,AA21&lt;=0),AND(AB21&lt;0,AA21&gt;=0)),"nm",IF(AND(AB21&lt;0,AA21&lt;0),IF(-(AB21/AA21-1)*100&lt;-100,"(&gt;100)",-(AB21/AA21-1)*100),IF((AB21/AA21-1)*100&gt;100,"&gt;100",(AB21/AA21-1)*100))))</f>
        <v>16.666666666666675</v>
      </c>
      <c r="AD21" s="139" t="str">
        <f>IF(AND(AA21=0,W21=0),0,IF(OR(AND(AA21&gt;0,W21&lt;=0),AND(AA21&lt;0,W21&gt;=0)),"nm",IF(AND(AA21&lt;0,W21&lt;0),IF(-(AA21/W21-1)*100&lt;-100,"(&gt;100)",-(AA21/W21-1)*100),IF((AA21/W21-1)*100&gt;100,"&gt;100",(AA21/W21-1)*100))))</f>
        <v>nm</v>
      </c>
      <c r="AF21" s="75">
        <v>0</v>
      </c>
      <c r="AG21" s="122">
        <f>'24.P&amp;L'!I57</f>
        <v>16</v>
      </c>
      <c r="AH21" s="139" t="str">
        <f>IF(AND(AG21=0,AF21=0),0,IF(OR(AND(AG21&gt;0,AF21&lt;=0),AND(AG21&lt;0,AF21&gt;=0)),"nm",IF(AND(AG21&lt;0,AF21&lt;0),IF(-(AG21/AF21-1)*100&lt;-100,"(&gt;100)",-(AG21/AF21-1)*100),IF((AG21/AF21-1)*100&gt;100,"&gt;100",(AG21/AF21-1)*100))))</f>
        <v>nm</v>
      </c>
      <c r="AI21" s="140">
        <f>W21+V21</f>
        <v>-3</v>
      </c>
      <c r="AJ21" s="125">
        <f>AA21+Z21</f>
        <v>9</v>
      </c>
      <c r="AK21" s="139" t="str">
        <f>IF(AND(AJ21=0,AI21=0),0,IF(OR(AND(AJ21&gt;0,AI21&lt;=0),AND(AJ21&lt;0,AI21&gt;=0)),"nm",IF(AND(AJ21&lt;0,AI21&lt;0),IF(-(AJ21/AI21-1)*100&lt;-100,"(&gt;100)",-(AJ21/AI21-1)*100),IF((AJ21/AI21-1)*100&gt;100,"&gt;100",(AJ21/AI21-1)*100))))</f>
        <v>nm</v>
      </c>
    </row>
    <row r="22" spans="3:37" ht="15">
      <c r="C22" s="22" t="s">
        <v>254</v>
      </c>
      <c r="G22" s="121">
        <v>2</v>
      </c>
      <c r="H22" s="121">
        <v>-2</v>
      </c>
      <c r="Q22" s="75">
        <v>0</v>
      </c>
      <c r="R22" s="75">
        <v>0</v>
      </c>
      <c r="S22" s="75">
        <v>0</v>
      </c>
      <c r="T22" s="75">
        <v>1</v>
      </c>
      <c r="U22" s="75">
        <v>1</v>
      </c>
      <c r="V22" s="75">
        <v>-3</v>
      </c>
      <c r="W22" s="75">
        <v>1</v>
      </c>
      <c r="X22" s="75">
        <v>-1</v>
      </c>
      <c r="Y22" s="75">
        <v>1</v>
      </c>
      <c r="Z22" s="121">
        <v>1</v>
      </c>
      <c r="AA22" s="121">
        <f>'24.P&amp;L'!F58</f>
        <v>2</v>
      </c>
      <c r="AB22" s="122">
        <f>'24.P&amp;L'!C58</f>
        <v>-1</v>
      </c>
      <c r="AC22" s="132" t="str">
        <f>IF(AND(AB22=0,AB22=0),0,IF(OR(AND(AB22&gt;0,AA22&lt;=0),AND(AB22&lt;0,AA22&gt;=0)),"nm",IF(AND(AB22&lt;0,AA22&lt;0),IF(-(AB22/AA22-1)*100&lt;-100,"(&gt;100)",-(AB22/AA22-1)*100),IF((AB22/AA22-1)*100&gt;100,"&gt;100",(AB22/AA22-1)*100))))</f>
        <v>nm</v>
      </c>
      <c r="AD22" s="139">
        <f>IF(AND(AA22=0,W22=0),0,IF(OR(AND(AA22&gt;0,W22&lt;=0),AND(AA22&lt;0,W22&gt;=0)),"nm",IF(AND(AA22&lt;0,W22&lt;0),IF(-(AA22/W22-1)*100&lt;-100,"(&gt;100)",-(AA22/W22-1)*100),IF((AA22/W22-1)*100&gt;100,"&gt;100",(AA22/W22-1)*100))))</f>
        <v>100</v>
      </c>
      <c r="AF22" s="75">
        <v>-3</v>
      </c>
      <c r="AG22" s="122">
        <f>'24.P&amp;L'!I58</f>
        <v>2</v>
      </c>
      <c r="AH22" s="139" t="str">
        <f>IF(AND(AG22=0,AF22=0),0,IF(OR(AND(AG22&gt;0,AF22&lt;=0),AND(AG22&lt;0,AF22&gt;=0)),"nm",IF(AND(AG22&lt;0,AF22&lt;0),IF(-(AG22/AF22-1)*100&lt;-100,"(&gt;100)",-(AG22/AF22-1)*100),IF((AG22/AF22-1)*100&gt;100,"&gt;100",(AG22/AF22-1)*100))))</f>
        <v>nm</v>
      </c>
      <c r="AI22" s="140">
        <f>W22+V22</f>
        <v>-2</v>
      </c>
      <c r="AJ22" s="125">
        <f>AA22+Z22</f>
        <v>3</v>
      </c>
      <c r="AK22" s="139" t="str">
        <f>IF(AND(AJ22=0,AI22=0),0,IF(OR(AND(AJ22&gt;0,AI22&lt;=0),AND(AJ22&lt;0,AI22&gt;=0)),"nm",IF(AND(AJ22&lt;0,AI22&lt;0),IF(-(AJ22/AI22-1)*100&lt;-100,"(&gt;100)",-(AJ22/AI22-1)*100),IF((AJ22/AI22-1)*100&gt;100,"&gt;100",(AJ22/AI22-1)*100))))</f>
        <v>nm</v>
      </c>
    </row>
    <row r="23" spans="2:37" ht="15">
      <c r="B23" s="18" t="s">
        <v>359</v>
      </c>
      <c r="C23" s="18"/>
      <c r="G23" s="17">
        <v>-16</v>
      </c>
      <c r="H23" s="17">
        <v>-1</v>
      </c>
      <c r="Q23" s="75">
        <v>0</v>
      </c>
      <c r="R23" s="75">
        <v>0</v>
      </c>
      <c r="S23" s="75">
        <v>0</v>
      </c>
      <c r="T23" s="75">
        <v>-11</v>
      </c>
      <c r="U23" s="75">
        <v>-16</v>
      </c>
      <c r="V23" s="75">
        <v>3</v>
      </c>
      <c r="W23" s="75">
        <v>0</v>
      </c>
      <c r="X23" s="75">
        <v>3</v>
      </c>
      <c r="Y23" s="75">
        <v>-1</v>
      </c>
      <c r="Z23" s="17">
        <f>SUM(Z19:Z22)</f>
        <v>-12</v>
      </c>
      <c r="AA23" s="17">
        <f>SUM(AA19:AA22)</f>
        <v>-22</v>
      </c>
      <c r="AB23" s="125">
        <f>SUM(AB19:AB22)</f>
        <v>-11</v>
      </c>
      <c r="AC23" s="133">
        <f>IF(AND(AB23=0,AB23=0),0,IF(OR(AND(AB23&gt;0,AA23&lt;=0),AND(AB23&lt;0,AA23&gt;=0)),"nm",IF(AND(AB23&lt;0,AA23&lt;0),IF(-(AB23/AA23-1)*100&lt;-100,"(&gt;100)",-(AB23/AA23-1)*100),IF((AB23/AA23-1)*100&gt;100,"&gt;100",(AB23/AA23-1)*100))))</f>
        <v>50</v>
      </c>
      <c r="AD23" s="133" t="str">
        <f>IF(AND(AA23=0,W23=0),0,IF(OR(AND(AA23&gt;0,W23&lt;=0),AND(AA23&lt;0,W23&gt;=0)),"nm",IF(AND(AA23&lt;0,W23&lt;0),IF(-(AA23/W23-1)*100&lt;-100,"(&gt;100)",-(AA23/W23-1)*100),IF((AA23/W23-1)*100&gt;100,"&gt;100",(AA23/W23-1)*100))))</f>
        <v>nm</v>
      </c>
      <c r="AF23" s="17">
        <v>3</v>
      </c>
      <c r="AG23" s="125">
        <f>SUM(AG19:AG22)</f>
        <v>-11</v>
      </c>
      <c r="AH23" s="139" t="str">
        <f>IF(AND(AG23=0,AF23=0),0,IF(OR(AND(AG23&gt;0,AF23&lt;=0),AND(AG23&lt;0,AF23&gt;=0)),"nm",IF(AND(AG23&lt;0,AF23&lt;0),IF(-(AG23/AF23-1)*100&lt;-100,"(&gt;100)",-(AG23/AF23-1)*100),IF((AG23/AF23-1)*100&gt;100,"&gt;100",(AG23/AF23-1)*100))))</f>
        <v>nm</v>
      </c>
      <c r="AI23" s="104">
        <f>SUM(AI19:AI22)</f>
        <v>0</v>
      </c>
      <c r="AJ23" s="125">
        <f>SUM(AJ19:AJ22)</f>
        <v>-22</v>
      </c>
      <c r="AK23" s="133" t="str">
        <f>IF(AND(AJ23=0,AI23=0),0,IF(OR(AND(AJ23&gt;0,AI23&lt;=0),AND(AJ23&lt;0,AI23&gt;=0)),"nm",IF(AND(AJ23&lt;0,AI23&lt;0),IF(-(AJ23/AI23-1)*100&lt;-100,"(&gt;100)",-(AJ23/AI23-1)*100),IF((AJ23/AI23-1)*100&gt;100,"&gt;100",(AJ23/AI23-1)*100))))</f>
        <v>nm</v>
      </c>
    </row>
    <row r="24" spans="26:37" ht="15">
      <c r="Z24" s="355"/>
      <c r="AA24" s="165"/>
      <c r="AB24" s="489"/>
      <c r="AG24" s="122"/>
      <c r="AJ24" s="462"/>
      <c r="AK24" s="133"/>
    </row>
    <row r="25" spans="26:36" ht="14.25">
      <c r="Z25" s="355"/>
      <c r="AA25" s="165"/>
      <c r="AB25" s="489"/>
      <c r="AG25" s="122"/>
      <c r="AJ25" s="461"/>
    </row>
    <row r="26" spans="26:36" ht="14.25">
      <c r="Z26" s="355"/>
      <c r="AA26" s="355"/>
      <c r="AB26" s="489"/>
      <c r="AG26" s="122"/>
      <c r="AJ26" s="461"/>
    </row>
    <row r="27" spans="26:33" ht="14.25">
      <c r="Z27" s="355"/>
      <c r="AA27" s="355"/>
      <c r="AB27" s="352"/>
      <c r="AG27" s="122"/>
    </row>
    <row r="28" spans="26:33" ht="14.25">
      <c r="Z28" s="355"/>
      <c r="AA28" s="355"/>
      <c r="AB28" s="352"/>
      <c r="AG28" s="122"/>
    </row>
    <row r="29" spans="26:28" ht="14.25">
      <c r="Z29" s="355"/>
      <c r="AA29" s="355"/>
      <c r="AB29" s="352"/>
    </row>
    <row r="30" spans="26:28" ht="14.25">
      <c r="Z30" s="355"/>
      <c r="AA30" s="355"/>
      <c r="AB30" s="352"/>
    </row>
    <row r="31" spans="26:28" ht="14.25">
      <c r="Z31" s="355"/>
      <c r="AA31" s="355"/>
      <c r="AB31" s="352"/>
    </row>
  </sheetData>
  <sheetProtection/>
  <mergeCells count="1">
    <mergeCell ref="A2:C2"/>
  </mergeCells>
  <hyperlinks>
    <hyperlink ref="A2" location="Index!A1" display="Back to Index"/>
  </hyperlinks>
  <printOptions/>
  <pageMargins left="0.75" right="0.75" top="1" bottom="1" header="0.5" footer="0.5"/>
  <pageSetup horizontalDpi="600" verticalDpi="600" orientation="landscape" scale="110" r:id="rId1"/>
  <ignoredErrors>
    <ignoredError sqref="AH17:A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wangnyap</cp:lastModifiedBy>
  <cp:lastPrinted>2013-10-25T02:18:41Z</cp:lastPrinted>
  <dcterms:created xsi:type="dcterms:W3CDTF">2009-09-01T03:31:48Z</dcterms:created>
  <dcterms:modified xsi:type="dcterms:W3CDTF">2013-10-31T14:10:14Z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HTML">
    <vt:lpwstr/>
  </property>
  <property fmtid="{D5CDD505-2E9C-101B-9397-08002B2CF9AE}" pid="3" name="PublishingRollupImage">
    <vt:lpwstr/>
  </property>
  <property fmtid="{D5CDD505-2E9C-101B-9397-08002B2CF9AE}" pid="4" name="Audience">
    <vt:lpwstr/>
  </property>
  <property fmtid="{D5CDD505-2E9C-101B-9397-08002B2CF9AE}" pid="5" name="PublishingContactPicture">
    <vt:lpwstr/>
  </property>
  <property fmtid="{D5CDD505-2E9C-101B-9397-08002B2CF9AE}" pid="6" name="ColumnLeftHTML">
    <vt:lpwstr/>
  </property>
  <property fmtid="{D5CDD505-2E9C-101B-9397-08002B2CF9AE}" pid="7" name="PublishingContactName">
    <vt:lpwstr/>
  </property>
  <property fmtid="{D5CDD505-2E9C-101B-9397-08002B2CF9AE}" pid="8" name="BottomHTML">
    <vt:lpwstr/>
  </property>
  <property fmtid="{D5CDD505-2E9C-101B-9397-08002B2CF9AE}" pid="9" name="ContentType">
    <vt:lpwstr>DBS Neutral Pages Content Type</vt:lpwstr>
  </property>
  <property fmtid="{D5CDD505-2E9C-101B-9397-08002B2CF9AE}" pid="10" name="Comments">
    <vt:lpwstr/>
  </property>
  <property fmtid="{D5CDD505-2E9C-101B-9397-08002B2CF9AE}" pid="11" name="PublishingContactEmail">
    <vt:lpwstr/>
  </property>
  <property fmtid="{D5CDD505-2E9C-101B-9397-08002B2CF9AE}" pid="12" name="ColumnRightHTML">
    <vt:lpwstr/>
  </property>
</Properties>
</file>